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Intro" sheetId="1" r:id="rId1"/>
    <sheet name="Classification" sheetId="2" r:id="rId2"/>
    <sheet name="Detailed" sheetId="3" state="hidden" r:id="rId3"/>
    <sheet name="Drawing" sheetId="4" r:id="rId4"/>
    <sheet name="Spots" sheetId="5" state="hidden" r:id="rId5"/>
    <sheet name="Hyperlinks" sheetId="6" r:id="rId6"/>
    <sheet name="Info" sheetId="7" r:id="rId7"/>
  </sheets>
  <definedNames>
    <definedName name="_xlnm._FilterDatabase" localSheetId="2" hidden="1">'Detailed'!$B$10:$Y$70</definedName>
    <definedName name="_xlnm.Print_Area" localSheetId="1">'Classification'!$B$2:$V$65</definedName>
    <definedName name="_xlnm.Print_Area" localSheetId="2">'Detailed'!$B$1:$Y$70</definedName>
    <definedName name="_xlnm.Print_Area" localSheetId="3">'Drawing'!$A$1:$L$44</definedName>
    <definedName name="_xlnm.Print_Area" localSheetId="6">'Info'!$A$1:$P$37</definedName>
    <definedName name="_xlnm.Print_Area" localSheetId="0">'Intro'!$B$1:$C$46</definedName>
    <definedName name="_xlnm.Print_Area" localSheetId="4">'Spots'!$B$1:$M$23</definedName>
  </definedNames>
  <calcPr fullCalcOnLoad="1"/>
</workbook>
</file>

<file path=xl/sharedStrings.xml><?xml version="1.0" encoding="utf-8"?>
<sst xmlns="http://schemas.openxmlformats.org/spreadsheetml/2006/main" count="1359" uniqueCount="163">
  <si>
    <t>A</t>
  </si>
  <si>
    <t>B</t>
  </si>
  <si>
    <t>C</t>
  </si>
  <si>
    <t>D</t>
  </si>
  <si>
    <t>E</t>
  </si>
  <si>
    <t>F</t>
  </si>
  <si>
    <t>H</t>
  </si>
  <si>
    <t>x</t>
  </si>
  <si>
    <t>r</t>
  </si>
  <si>
    <t>a</t>
  </si>
  <si>
    <t>s</t>
  </si>
  <si>
    <t>k</t>
  </si>
  <si>
    <t>h</t>
  </si>
  <si>
    <t>o</t>
  </si>
  <si>
    <t>i</t>
  </si>
  <si>
    <t>c</t>
  </si>
  <si>
    <t>Magnetic type</t>
  </si>
  <si>
    <t>Unipolar</t>
  </si>
  <si>
    <t>Bipolar one side</t>
  </si>
  <si>
    <t>Bipolar</t>
  </si>
  <si>
    <t>1a</t>
  </si>
  <si>
    <t>Length of group</t>
  </si>
  <si>
    <t>&lt;10 h.degs.</t>
  </si>
  <si>
    <t>(not for Unipolar)</t>
  </si>
  <si>
    <t>&gt;10&lt;15 h.degs.</t>
  </si>
  <si>
    <t>&gt;15 h.degs.</t>
  </si>
  <si>
    <t>Penumbra</t>
  </si>
  <si>
    <t>No penumbra</t>
  </si>
  <si>
    <t>Rudimentary</t>
  </si>
  <si>
    <t>Assymetric</t>
  </si>
  <si>
    <t>Symmetric</t>
  </si>
  <si>
    <t>2a</t>
  </si>
  <si>
    <t>Penumbra size</t>
  </si>
  <si>
    <t>P: &lt;2,5 h.degs.</t>
  </si>
  <si>
    <t>(for penumbra only)</t>
  </si>
  <si>
    <t>P: &gt;2,5 h.degs.</t>
  </si>
  <si>
    <t>Distribution of spots</t>
  </si>
  <si>
    <t>Single</t>
  </si>
  <si>
    <t>Open</t>
  </si>
  <si>
    <t>Intermediate</t>
  </si>
  <si>
    <t>Compact</t>
  </si>
  <si>
    <t>CLASSIFICATION CRITERIA DETERMINATION &amp; CONVERSION TO CLASSIFICATION VALUES (CV)</t>
  </si>
  <si>
    <t>SUNSPOT CLASSIFICATION TO ZÜRICH/McINTOSH WITH CLASSIFICATION VALUES (CV)</t>
  </si>
  <si>
    <t>CV-Helios Network</t>
  </si>
  <si>
    <t>Distr. of spots</t>
  </si>
  <si>
    <t>Number of crosses needed</t>
  </si>
  <si>
    <t>CV-number</t>
  </si>
  <si>
    <t>Z/McI-class</t>
  </si>
  <si>
    <t>Axx</t>
  </si>
  <si>
    <t>X</t>
  </si>
  <si>
    <t>Classification</t>
  </si>
  <si>
    <t>CV</t>
  </si>
  <si>
    <t>Bxo</t>
  </si>
  <si>
    <t>Bxi</t>
  </si>
  <si>
    <t>Hrx</t>
  </si>
  <si>
    <t>Cro</t>
  </si>
  <si>
    <t>Cri</t>
  </si>
  <si>
    <t>Hax</t>
  </si>
  <si>
    <t>Cao</t>
  </si>
  <si>
    <t>Cai</t>
  </si>
  <si>
    <t>Hsx</t>
  </si>
  <si>
    <t>Cso</t>
  </si>
  <si>
    <t>Csi</t>
  </si>
  <si>
    <t>Dro</t>
  </si>
  <si>
    <t>Ero</t>
  </si>
  <si>
    <t>Fro</t>
  </si>
  <si>
    <t>Dri</t>
  </si>
  <si>
    <t>Eri</t>
  </si>
  <si>
    <t>Fri</t>
  </si>
  <si>
    <t>Dao</t>
  </si>
  <si>
    <t>Eao</t>
  </si>
  <si>
    <t>Fao</t>
  </si>
  <si>
    <t>Dai</t>
  </si>
  <si>
    <t>LEN</t>
  </si>
  <si>
    <t>Eai</t>
  </si>
  <si>
    <t>Fai</t>
  </si>
  <si>
    <t>Judgement</t>
  </si>
  <si>
    <t>build</t>
  </si>
  <si>
    <t>Dso</t>
  </si>
  <si>
    <t>Eso</t>
  </si>
  <si>
    <t>Fso</t>
  </si>
  <si>
    <t>Dsi</t>
  </si>
  <si>
    <t>Esi</t>
  </si>
  <si>
    <t>Fsi</t>
  </si>
  <si>
    <t>Dac</t>
  </si>
  <si>
    <t>Eac</t>
  </si>
  <si>
    <t>Fac</t>
  </si>
  <si>
    <t>Dsc</t>
  </si>
  <si>
    <t>Esc</t>
  </si>
  <si>
    <t>Fsc</t>
  </si>
  <si>
    <t>Hkx</t>
  </si>
  <si>
    <t>Cko</t>
  </si>
  <si>
    <t>Cki</t>
  </si>
  <si>
    <t>Hhx</t>
  </si>
  <si>
    <t>Cho</t>
  </si>
  <si>
    <t>Chi</t>
  </si>
  <si>
    <t>Dko</t>
  </si>
  <si>
    <t>Eko</t>
  </si>
  <si>
    <t>Fko</t>
  </si>
  <si>
    <t>Dki</t>
  </si>
  <si>
    <t>Eki</t>
  </si>
  <si>
    <t>Fki</t>
  </si>
  <si>
    <t>Dho</t>
  </si>
  <si>
    <t>Eho</t>
  </si>
  <si>
    <t>Fho</t>
  </si>
  <si>
    <t>Dhi</t>
  </si>
  <si>
    <t>Ehi</t>
  </si>
  <si>
    <t>Fhi</t>
  </si>
  <si>
    <t>Dkc</t>
  </si>
  <si>
    <t>Ekc</t>
  </si>
  <si>
    <t>Fkc</t>
  </si>
  <si>
    <t>Dhc</t>
  </si>
  <si>
    <t>Ehc</t>
  </si>
  <si>
    <t>Fhc</t>
  </si>
  <si>
    <t>Heliographic degrees</t>
  </si>
  <si>
    <t>Zürich/McIntosh classification</t>
  </si>
  <si>
    <t>&lt;10 heliographic degrees</t>
  </si>
  <si>
    <t>&gt;10&lt;15 heliographic degrees</t>
  </si>
  <si>
    <t>&gt;15 heliographic degrees</t>
  </si>
  <si>
    <t>&lt;2,5 heliographic degrees</t>
  </si>
  <si>
    <t>&gt;2,5 heliographic degrees</t>
  </si>
  <si>
    <t>ZÜRICH/McINTOSH-CLASSIFICATIONS TO CLASSIFICATION VALUES</t>
  </si>
  <si>
    <t>Drawings are only schematic</t>
  </si>
  <si>
    <t>CV-Helios Network 2007</t>
  </si>
  <si>
    <t>CV and Classifications on net</t>
  </si>
  <si>
    <t>Class</t>
  </si>
  <si>
    <t>Link</t>
  </si>
  <si>
    <r>
      <t xml:space="preserve">CV-Helios Network©1998/2001/2006/2007
</t>
    </r>
    <r>
      <rPr>
        <sz val="10"/>
        <color indexed="55"/>
        <rFont val="Arial"/>
        <family val="2"/>
      </rPr>
      <t>e-mail: w e b m a n a g e r @ c v - h e l i o s . n e t</t>
    </r>
    <r>
      <rPr>
        <sz val="12"/>
        <color indexed="15"/>
        <rFont val="Arial"/>
        <family val="2"/>
      </rPr>
      <t xml:space="preserve">
</t>
    </r>
    <r>
      <rPr>
        <sz val="10"/>
        <color indexed="55"/>
        <rFont val="Arial"/>
        <family val="2"/>
      </rPr>
      <t>(with spaces here to avoid spam)</t>
    </r>
  </si>
  <si>
    <t>Match</t>
  </si>
  <si>
    <t>Match %</t>
  </si>
  <si>
    <t>10 BEST MATCHES</t>
  </si>
  <si>
    <t>BEST MATCH</t>
  </si>
  <si>
    <t>Dear CV-observer,</t>
  </si>
  <si>
    <t>NEED HELP DOING CLASSIFICATIONS AND CV?</t>
  </si>
  <si>
    <t>Whenever you need online help or help as a downloaded object file</t>
  </si>
  <si>
    <t>in order to make your classifications in the cases you may be a beginner or you may be in doubt</t>
  </si>
  <si>
    <t>1. Magnetic type &amp; Length of group</t>
  </si>
  <si>
    <t>   Fill in 1 cross for the category 1,</t>
  </si>
  <si>
    <t>   and 1 cross in category 1a if you choose Bipolar group</t>
  </si>
  <si>
    <t>2. Penumbra &amp; Penumbra size</t>
  </si>
  <si>
    <t>   Fill in 1 cross for the category 2,</t>
  </si>
  <si>
    <t>   and 1 cross in category 2a if you choose Assymetric or Symmetric penumbra</t>
  </si>
  <si>
    <t>3. Distribution of spots</t>
  </si>
  <si>
    <t>   Fill in 1 cross only</t>
  </si>
  <si>
    <t>Filled in crosses are not case sensitive.</t>
  </si>
  <si>
    <t>Arrows and the note "Fill in" will disappear along the way towards a correct classification.</t>
  </si>
  <si>
    <t>Note that any group have either 3, 4 or 5 crosses needed to fill in, no less, no more.</t>
  </si>
  <si>
    <t>If you fill in incorrect, you will get the reply "Error in classification" and also a note saying if you have "too many crosses".</t>
  </si>
  <si>
    <t>On the right side you will see the 10 best matches and the best match as you go along.</t>
  </si>
  <si>
    <t>You may then also go to, and download, the Monthly Input Form-file, appearing under the table.</t>
  </si>
  <si>
    <t>When you push the "Clear"-button you can start over for your next classification.</t>
  </si>
  <si>
    <r>
      <t>Good luck with the new </t>
    </r>
    <r>
      <rPr>
        <u val="single"/>
        <sz val="10"/>
        <color indexed="12"/>
        <rFont val="Arial"/>
        <family val="2"/>
      </rPr>
      <t>Online help for classifications and CV.</t>
    </r>
  </si>
  <si>
    <r>
      <t>You may use this file together with </t>
    </r>
    <r>
      <rPr>
        <u val="single"/>
        <sz val="10"/>
        <color indexed="12"/>
        <rFont val="Arial"/>
        <family val="2"/>
      </rPr>
      <t>Monthly Input Form, issued year 2002.</t>
    </r>
  </si>
  <si>
    <t>Download them both for your convenience!</t>
  </si>
  <si>
    <t>--</t>
  </si>
  <si>
    <t>Best regards,</t>
  </si>
  <si>
    <t>Kjell Inge Malde</t>
  </si>
  <si>
    <t>Director/CV-Helios Network</t>
  </si>
  <si>
    <t>http://www.cv-helios.net</t>
  </si>
  <si>
    <t>Then this file will help you:</t>
  </si>
  <si>
    <t>When you receive the "CORRECT CLASSIFICATION" the CV-number on the table 
with light up and you may go to the cell above the "Click for drawing"-cell</t>
  </si>
  <si>
    <t>and go directly to CV-HN's typical drawing for the classification chosen.</t>
  </si>
  <si>
    <t>of what classification to give a distinct group, you may now use this newly developed file, 
that will help you all the way!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</si>
</sst>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°&quot;"/>
    <numFmt numFmtId="177" formatCode="0&quot;°&quot;"/>
    <numFmt numFmtId="178" formatCode="0.0"/>
    <numFmt numFmtId="179" formatCode="0.0&quot;°&quot;"/>
    <numFmt numFmtId="180" formatCode="0.0\ %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10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22"/>
      <name val="Arial"/>
      <family val="2"/>
    </font>
    <font>
      <sz val="10"/>
      <color indexed="18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60"/>
      <name val="Bookman Old Style"/>
      <family val="1"/>
    </font>
    <font>
      <b/>
      <sz val="16"/>
      <color indexed="48"/>
      <name val="Arial"/>
      <family val="2"/>
    </font>
    <font>
      <b/>
      <sz val="14"/>
      <color indexed="1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9"/>
      <color indexed="18"/>
      <name val="Arial"/>
      <family val="2"/>
    </font>
    <font>
      <sz val="11"/>
      <color indexed="10"/>
      <name val="Arial"/>
      <family val="2"/>
    </font>
    <font>
      <sz val="10"/>
      <color indexed="55"/>
      <name val="Arial"/>
      <family val="2"/>
    </font>
    <font>
      <sz val="12"/>
      <color indexed="15"/>
      <name val="Arial"/>
      <family val="2"/>
    </font>
    <font>
      <i/>
      <sz val="10"/>
      <name val="Arial"/>
      <family val="2"/>
    </font>
    <font>
      <sz val="10"/>
      <color indexed="10"/>
      <name val="Wingdings"/>
      <family val="0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6"/>
      <color indexed="55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60"/>
      <name val="Bookman Old Style"/>
      <family val="1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60"/>
      <name val="Bookman Old Style"/>
      <family val="1"/>
    </font>
    <font>
      <sz val="10"/>
      <color indexed="9"/>
      <name val="Arial"/>
      <family val="2"/>
    </font>
    <font>
      <sz val="10"/>
      <color indexed="42"/>
      <name val="Arial"/>
      <family val="2"/>
    </font>
    <font>
      <sz val="9"/>
      <color indexed="42"/>
      <name val="Arial"/>
      <family val="2"/>
    </font>
    <font>
      <sz val="9"/>
      <color indexed="12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sz val="12"/>
      <color indexed="22"/>
      <name val="Arial"/>
      <family val="2"/>
    </font>
    <font>
      <b/>
      <sz val="12"/>
      <color indexed="10"/>
      <name val="Wingdings"/>
      <family val="0"/>
    </font>
    <font>
      <b/>
      <sz val="10"/>
      <color indexed="18"/>
      <name val="Arial"/>
      <family val="2"/>
    </font>
    <font>
      <sz val="10"/>
      <color indexed="15"/>
      <name val="Arial"/>
      <family val="2"/>
    </font>
    <font>
      <b/>
      <sz val="14"/>
      <color indexed="48"/>
      <name val="Arial"/>
      <family val="2"/>
    </font>
    <font>
      <sz val="11"/>
      <color indexed="18"/>
      <name val="Arial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3.5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23"/>
      <name val="Arial"/>
      <family val="2"/>
    </font>
    <font>
      <i/>
      <sz val="12"/>
      <color indexed="16"/>
      <name val="Arial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b/>
      <sz val="13.5"/>
      <color rgb="FFCC0000"/>
      <name val="Arial"/>
      <family val="2"/>
    </font>
    <font>
      <b/>
      <sz val="12"/>
      <color rgb="FF222222"/>
      <name val="Arial"/>
      <family val="2"/>
    </font>
    <font>
      <sz val="12"/>
      <color rgb="FF888888"/>
      <name val="Arial"/>
      <family val="2"/>
    </font>
    <font>
      <i/>
      <sz val="12"/>
      <color rgb="FF66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>
        <color indexed="22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52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2"/>
      </right>
      <top style="thin">
        <color indexed="53"/>
      </top>
      <bottom style="thin">
        <color indexed="53"/>
      </bottom>
    </border>
    <border>
      <left style="medium">
        <color indexed="52"/>
      </left>
      <right style="thin">
        <color indexed="53"/>
      </right>
      <top style="thin">
        <color indexed="53"/>
      </top>
      <bottom style="medium">
        <color indexed="52"/>
      </bottom>
    </border>
    <border>
      <left style="thin">
        <color indexed="53"/>
      </left>
      <right style="medium">
        <color indexed="52"/>
      </right>
      <top style="thin">
        <color indexed="53"/>
      </top>
      <bottom style="medium">
        <color indexed="52"/>
      </bottom>
    </border>
    <border>
      <left style="medium">
        <color indexed="52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medium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3"/>
      </left>
      <right>
        <color indexed="63"/>
      </right>
      <top style="medium"/>
      <bottom style="medium"/>
    </border>
    <border>
      <left>
        <color indexed="63"/>
      </left>
      <right style="thin">
        <color indexed="53"/>
      </right>
      <top style="medium"/>
      <bottom style="medium"/>
    </border>
    <border>
      <left style="medium">
        <color indexed="52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52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82" fillId="20" borderId="1" applyNumberFormat="0" applyAlignment="0" applyProtection="0"/>
    <xf numFmtId="0" fontId="83" fillId="2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86" fillId="23" borderId="1" applyNumberFormat="0" applyAlignment="0" applyProtection="0"/>
    <xf numFmtId="0" fontId="87" fillId="0" borderId="2" applyNumberFormat="0" applyFill="0" applyAlignment="0" applyProtection="0"/>
    <xf numFmtId="171" fontId="0" fillId="0" borderId="0" applyFont="0" applyFill="0" applyBorder="0" applyAlignment="0" applyProtection="0"/>
    <xf numFmtId="0" fontId="88" fillId="24" borderId="3" applyNumberFormat="0" applyAlignment="0" applyProtection="0"/>
    <xf numFmtId="0" fontId="0" fillId="25" borderId="4" applyNumberFormat="0" applyFont="0" applyAlignment="0" applyProtection="0"/>
    <xf numFmtId="0" fontId="89" fillId="26" borderId="0" applyNumberFormat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169" fontId="0" fillId="0" borderId="0" applyFont="0" applyFill="0" applyBorder="0" applyAlignment="0" applyProtection="0"/>
    <xf numFmtId="0" fontId="95" fillId="20" borderId="9" applyNumberFormat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 textRotation="90"/>
      <protection hidden="1"/>
    </xf>
    <xf numFmtId="0" fontId="0" fillId="33" borderId="0" xfId="0" applyFill="1" applyBorder="1" applyAlignment="1" applyProtection="1">
      <alignment horizontal="center" vertical="center" textRotation="90"/>
      <protection hidden="1"/>
    </xf>
    <xf numFmtId="0" fontId="0" fillId="33" borderId="11" xfId="0" applyFill="1" applyBorder="1" applyAlignment="1" applyProtection="1">
      <alignment horizontal="center" vertical="center" textRotation="90"/>
      <protection hidden="1"/>
    </xf>
    <xf numFmtId="0" fontId="0" fillId="34" borderId="10" xfId="0" applyFill="1" applyBorder="1" applyAlignment="1" applyProtection="1">
      <alignment horizontal="center" vertical="center" textRotation="90"/>
      <protection hidden="1"/>
    </xf>
    <xf numFmtId="0" fontId="0" fillId="34" borderId="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0" borderId="0" xfId="0" applyFill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6" fillId="36" borderId="18" xfId="0" applyFont="1" applyFill="1" applyBorder="1" applyAlignment="1" applyProtection="1">
      <alignment horizontal="center"/>
      <protection hidden="1"/>
    </xf>
    <xf numFmtId="0" fontId="7" fillId="37" borderId="19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38" borderId="10" xfId="0" applyFont="1" applyFill="1" applyBorder="1" applyAlignment="1" applyProtection="1">
      <alignment horizontal="center"/>
      <protection hidden="1"/>
    </xf>
    <xf numFmtId="0" fontId="2" fillId="38" borderId="0" xfId="0" applyFont="1" applyFill="1" applyBorder="1" applyAlignment="1" applyProtection="1">
      <alignment horizontal="center"/>
      <protection hidden="1"/>
    </xf>
    <xf numFmtId="0" fontId="4" fillId="38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 horizontal="center"/>
      <protection hidden="1"/>
    </xf>
    <xf numFmtId="0" fontId="2" fillId="38" borderId="15" xfId="0" applyFont="1" applyFill="1" applyBorder="1" applyAlignment="1" applyProtection="1">
      <alignment horizontal="center"/>
      <protection hidden="1"/>
    </xf>
    <xf numFmtId="0" fontId="4" fillId="38" borderId="15" xfId="0" applyFont="1" applyFill="1" applyBorder="1" applyAlignment="1" applyProtection="1">
      <alignment/>
      <protection hidden="1"/>
    </xf>
    <xf numFmtId="0" fontId="0" fillId="36" borderId="15" xfId="0" applyFont="1" applyFill="1" applyBorder="1" applyAlignment="1" applyProtection="1">
      <alignment/>
      <protection hidden="1"/>
    </xf>
    <xf numFmtId="0" fontId="0" fillId="36" borderId="16" xfId="0" applyFont="1" applyFill="1" applyBorder="1" applyAlignment="1" applyProtection="1">
      <alignment/>
      <protection hidden="1"/>
    </xf>
    <xf numFmtId="0" fontId="0" fillId="39" borderId="20" xfId="0" applyFill="1" applyBorder="1" applyAlignment="1" applyProtection="1">
      <alignment horizontal="center"/>
      <protection hidden="1"/>
    </xf>
    <xf numFmtId="0" fontId="0" fillId="39" borderId="21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36" borderId="22" xfId="0" applyFont="1" applyFill="1" applyBorder="1" applyAlignment="1" applyProtection="1">
      <alignment horizontal="center"/>
      <protection hidden="1" locked="0"/>
    </xf>
    <xf numFmtId="0" fontId="9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11" xfId="0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vertical="center"/>
    </xf>
    <xf numFmtId="0" fontId="18" fillId="39" borderId="18" xfId="0" applyFont="1" applyFill="1" applyBorder="1" applyAlignment="1">
      <alignment vertical="center"/>
    </xf>
    <xf numFmtId="0" fontId="17" fillId="34" borderId="23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1" fillId="38" borderId="25" xfId="0" applyFont="1" applyFill="1" applyBorder="1" applyAlignment="1" applyProtection="1">
      <alignment horizontal="center" vertical="center"/>
      <protection locked="0"/>
    </xf>
    <xf numFmtId="0" fontId="17" fillId="34" borderId="26" xfId="0" applyFont="1" applyFill="1" applyBorder="1" applyAlignment="1">
      <alignment vertical="center"/>
    </xf>
    <xf numFmtId="0" fontId="21" fillId="38" borderId="27" xfId="0" applyFont="1" applyFill="1" applyBorder="1" applyAlignment="1" applyProtection="1">
      <alignment horizontal="center" vertical="center"/>
      <protection locked="0"/>
    </xf>
    <xf numFmtId="0" fontId="21" fillId="38" borderId="28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18" fillId="39" borderId="12" xfId="0" applyFont="1" applyFill="1" applyBorder="1" applyAlignment="1">
      <alignment vertical="center"/>
    </xf>
    <xf numFmtId="0" fontId="18" fillId="39" borderId="14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0" fillId="40" borderId="18" xfId="0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35" borderId="15" xfId="0" applyFill="1" applyBorder="1" applyAlignment="1" applyProtection="1">
      <alignment/>
      <protection hidden="1"/>
    </xf>
    <xf numFmtId="0" fontId="20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20" fillId="34" borderId="24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23" fillId="34" borderId="33" xfId="0" applyFont="1" applyFill="1" applyBorder="1" applyAlignment="1">
      <alignment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8" fillId="0" borderId="37" xfId="0" applyFont="1" applyFill="1" applyBorder="1" applyAlignment="1" applyProtection="1">
      <alignment horizontal="center"/>
      <protection hidden="1"/>
    </xf>
    <xf numFmtId="0" fontId="4" fillId="41" borderId="18" xfId="0" applyFont="1" applyFill="1" applyBorder="1" applyAlignment="1" applyProtection="1">
      <alignment/>
      <protection hidden="1"/>
    </xf>
    <xf numFmtId="0" fontId="0" fillId="42" borderId="18" xfId="0" applyFill="1" applyBorder="1" applyAlignment="1" applyProtection="1">
      <alignment/>
      <protection hidden="1"/>
    </xf>
    <xf numFmtId="0" fontId="0" fillId="43" borderId="20" xfId="0" applyFill="1" applyBorder="1" applyAlignment="1" applyProtection="1">
      <alignment/>
      <protection hidden="1"/>
    </xf>
    <xf numFmtId="0" fontId="0" fillId="43" borderId="21" xfId="0" applyFill="1" applyBorder="1" applyAlignment="1" applyProtection="1">
      <alignment/>
      <protection hidden="1"/>
    </xf>
    <xf numFmtId="0" fontId="16" fillId="39" borderId="26" xfId="0" applyFont="1" applyFill="1" applyBorder="1" applyAlignment="1" applyProtection="1">
      <alignment horizontal="center"/>
      <protection hidden="1"/>
    </xf>
    <xf numFmtId="0" fontId="30" fillId="35" borderId="18" xfId="0" applyFont="1" applyFill="1" applyBorder="1" applyAlignment="1" applyProtection="1">
      <alignment horizontal="center"/>
      <protection hidden="1" locked="0"/>
    </xf>
    <xf numFmtId="0" fontId="31" fillId="35" borderId="18" xfId="0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40" borderId="18" xfId="0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15" fillId="36" borderId="13" xfId="0" applyFont="1" applyFill="1" applyBorder="1" applyAlignment="1">
      <alignment/>
    </xf>
    <xf numFmtId="0" fontId="15" fillId="36" borderId="38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39" xfId="0" applyFont="1" applyFill="1" applyBorder="1" applyAlignment="1">
      <alignment/>
    </xf>
    <xf numFmtId="0" fontId="15" fillId="36" borderId="40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5" fillId="36" borderId="41" xfId="0" applyFont="1" applyFill="1" applyBorder="1" applyAlignment="1">
      <alignment/>
    </xf>
    <xf numFmtId="0" fontId="15" fillId="36" borderId="42" xfId="0" applyFont="1" applyFill="1" applyBorder="1" applyAlignment="1">
      <alignment/>
    </xf>
    <xf numFmtId="0" fontId="15" fillId="38" borderId="19" xfId="0" applyFont="1" applyFill="1" applyBorder="1" applyAlignment="1">
      <alignment/>
    </xf>
    <xf numFmtId="177" fontId="15" fillId="38" borderId="10" xfId="0" applyNumberFormat="1" applyFont="1" applyFill="1" applyBorder="1" applyAlignment="1">
      <alignment/>
    </xf>
    <xf numFmtId="177" fontId="15" fillId="38" borderId="11" xfId="0" applyNumberFormat="1" applyFont="1" applyFill="1" applyBorder="1" applyAlignment="1">
      <alignment/>
    </xf>
    <xf numFmtId="0" fontId="32" fillId="36" borderId="12" xfId="0" applyFont="1" applyFill="1" applyBorder="1" applyAlignment="1">
      <alignment horizontal="center"/>
    </xf>
    <xf numFmtId="0" fontId="32" fillId="36" borderId="43" xfId="0" applyFont="1" applyFill="1" applyBorder="1" applyAlignment="1">
      <alignment horizontal="center"/>
    </xf>
    <xf numFmtId="0" fontId="4" fillId="43" borderId="24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4" fillId="44" borderId="24" xfId="0" applyFont="1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45" xfId="0" applyFill="1" applyBorder="1" applyAlignment="1">
      <alignment/>
    </xf>
    <xf numFmtId="0" fontId="0" fillId="45" borderId="44" xfId="0" applyFill="1" applyBorder="1" applyAlignment="1">
      <alignment/>
    </xf>
    <xf numFmtId="0" fontId="0" fillId="45" borderId="45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42" borderId="44" xfId="0" applyFill="1" applyBorder="1" applyAlignment="1">
      <alignment/>
    </xf>
    <xf numFmtId="0" fontId="0" fillId="42" borderId="45" xfId="0" applyFill="1" applyBorder="1" applyAlignment="1">
      <alignment/>
    </xf>
    <xf numFmtId="0" fontId="4" fillId="43" borderId="3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6" xfId="0" applyFill="1" applyBorder="1" applyAlignment="1">
      <alignment/>
    </xf>
    <xf numFmtId="0" fontId="4" fillId="44" borderId="32" xfId="0" applyFont="1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46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4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6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46" xfId="0" applyFill="1" applyBorder="1" applyAlignment="1">
      <alignment/>
    </xf>
    <xf numFmtId="0" fontId="4" fillId="43" borderId="33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4" fillId="44" borderId="33" xfId="0" applyFont="1" applyFill="1" applyBorder="1" applyAlignment="1">
      <alignment/>
    </xf>
    <xf numFmtId="0" fontId="0" fillId="44" borderId="47" xfId="0" applyFill="1" applyBorder="1" applyAlignment="1">
      <alignment/>
    </xf>
    <xf numFmtId="0" fontId="0" fillId="44" borderId="48" xfId="0" applyFill="1" applyBorder="1" applyAlignment="1">
      <alignment/>
    </xf>
    <xf numFmtId="0" fontId="0" fillId="45" borderId="47" xfId="0" applyFill="1" applyBorder="1" applyAlignment="1">
      <alignment/>
    </xf>
    <xf numFmtId="0" fontId="0" fillId="45" borderId="48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42" borderId="47" xfId="0" applyFill="1" applyBorder="1" applyAlignment="1">
      <alignment/>
    </xf>
    <xf numFmtId="0" fontId="0" fillId="42" borderId="48" xfId="0" applyFill="1" applyBorder="1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33" fillId="0" borderId="53" xfId="0" applyFont="1" applyFill="1" applyBorder="1" applyAlignment="1">
      <alignment horizontal="center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5"/>
    </xf>
    <xf numFmtId="0" fontId="8" fillId="0" borderId="0" xfId="0" applyFont="1" applyBorder="1" applyAlignment="1">
      <alignment/>
    </xf>
    <xf numFmtId="0" fontId="15" fillId="0" borderId="53" xfId="0" applyFont="1" applyFill="1" applyBorder="1" applyAlignment="1">
      <alignment/>
    </xf>
    <xf numFmtId="177" fontId="15" fillId="0" borderId="53" xfId="0" applyNumberFormat="1" applyFont="1" applyFill="1" applyBorder="1" applyAlignment="1">
      <alignment/>
    </xf>
    <xf numFmtId="179" fontId="15" fillId="0" borderId="53" xfId="0" applyNumberFormat="1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Fill="1" applyBorder="1" applyAlignment="1">
      <alignment/>
    </xf>
    <xf numFmtId="0" fontId="15" fillId="38" borderId="17" xfId="0" applyFont="1" applyFill="1" applyBorder="1" applyAlignment="1">
      <alignment vertical="top"/>
    </xf>
    <xf numFmtId="0" fontId="15" fillId="38" borderId="15" xfId="0" applyFont="1" applyFill="1" applyBorder="1" applyAlignment="1">
      <alignment vertical="top"/>
    </xf>
    <xf numFmtId="0" fontId="38" fillId="0" borderId="55" xfId="0" applyFont="1" applyBorder="1" applyAlignment="1">
      <alignment/>
    </xf>
    <xf numFmtId="0" fontId="38" fillId="0" borderId="55" xfId="0" applyFont="1" applyBorder="1" applyAlignment="1">
      <alignment horizontal="left" indent="3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177" fontId="15" fillId="0" borderId="11" xfId="0" applyNumberFormat="1" applyFont="1" applyFill="1" applyBorder="1" applyAlignment="1">
      <alignment/>
    </xf>
    <xf numFmtId="179" fontId="1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Alignment="1">
      <alignment/>
    </xf>
    <xf numFmtId="0" fontId="3" fillId="40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43" borderId="18" xfId="0" applyFont="1" applyFill="1" applyBorder="1" applyAlignment="1" applyProtection="1">
      <alignment horizontal="center"/>
      <protection locked="0"/>
    </xf>
    <xf numFmtId="0" fontId="39" fillId="36" borderId="18" xfId="38" applyFont="1" applyFill="1" applyBorder="1" applyAlignment="1" applyProtection="1">
      <alignment horizontal="center" vertical="center"/>
      <protection hidden="1" locked="0"/>
    </xf>
    <xf numFmtId="0" fontId="43" fillId="34" borderId="36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vertical="center"/>
    </xf>
    <xf numFmtId="0" fontId="44" fillId="34" borderId="36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6" borderId="47" xfId="0" applyFont="1" applyFill="1" applyBorder="1" applyAlignment="1">
      <alignment/>
    </xf>
    <xf numFmtId="0" fontId="0" fillId="38" borderId="0" xfId="0" applyFill="1" applyAlignment="1" applyProtection="1">
      <alignment/>
      <protection hidden="1"/>
    </xf>
    <xf numFmtId="0" fontId="36" fillId="0" borderId="0" xfId="0" applyFont="1" applyBorder="1" applyAlignment="1">
      <alignment/>
    </xf>
    <xf numFmtId="180" fontId="52" fillId="0" borderId="0" xfId="0" applyNumberFormat="1" applyFont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3" fillId="46" borderId="57" xfId="0" applyFont="1" applyFill="1" applyBorder="1" applyAlignment="1">
      <alignment horizontal="center" vertical="center"/>
    </xf>
    <xf numFmtId="0" fontId="53" fillId="46" borderId="58" xfId="0" applyFont="1" applyFill="1" applyBorder="1" applyAlignment="1">
      <alignment horizontal="center" vertical="center"/>
    </xf>
    <xf numFmtId="0" fontId="53" fillId="46" borderId="59" xfId="0" applyFont="1" applyFill="1" applyBorder="1" applyAlignment="1">
      <alignment horizontal="center" vertical="center"/>
    </xf>
    <xf numFmtId="0" fontId="53" fillId="46" borderId="60" xfId="0" applyFont="1" applyFill="1" applyBorder="1" applyAlignment="1">
      <alignment horizontal="center" vertical="center"/>
    </xf>
    <xf numFmtId="0" fontId="53" fillId="46" borderId="61" xfId="0" applyFont="1" applyFill="1" applyBorder="1" applyAlignment="1">
      <alignment horizontal="center" vertical="center"/>
    </xf>
    <xf numFmtId="0" fontId="53" fillId="46" borderId="62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3" xfId="0" applyBorder="1" applyAlignment="1">
      <alignment/>
    </xf>
    <xf numFmtId="0" fontId="5" fillId="36" borderId="64" xfId="0" applyFont="1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42" borderId="18" xfId="0" applyFont="1" applyFill="1" applyBorder="1" applyAlignment="1" applyProtection="1">
      <alignment horizontal="center" vertical="center"/>
      <protection hidden="1"/>
    </xf>
    <xf numFmtId="0" fontId="14" fillId="36" borderId="18" xfId="0" applyFont="1" applyFill="1" applyBorder="1" applyAlignment="1" applyProtection="1">
      <alignment horizontal="center" vertical="center"/>
      <protection hidden="1"/>
    </xf>
    <xf numFmtId="0" fontId="51" fillId="44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/>
      <protection hidden="1"/>
    </xf>
    <xf numFmtId="0" fontId="52" fillId="36" borderId="18" xfId="0" applyFont="1" applyFill="1" applyBorder="1" applyAlignment="1" applyProtection="1">
      <alignment horizontal="center" vertical="center"/>
      <protection hidden="1"/>
    </xf>
    <xf numFmtId="9" fontId="52" fillId="36" borderId="18" xfId="0" applyNumberFormat="1" applyFont="1" applyFill="1" applyBorder="1" applyAlignment="1" applyProtection="1">
      <alignment horizontal="center" vertical="center"/>
      <protection hidden="1"/>
    </xf>
    <xf numFmtId="0" fontId="8" fillId="36" borderId="18" xfId="0" applyFont="1" applyFill="1" applyBorder="1" applyAlignment="1" applyProtection="1">
      <alignment horizontal="center" vertical="center"/>
      <protection hidden="1"/>
    </xf>
    <xf numFmtId="9" fontId="8" fillId="36" borderId="18" xfId="0" applyNumberFormat="1" applyFont="1" applyFill="1" applyBorder="1" applyAlignment="1" applyProtection="1">
      <alignment horizontal="center" vertical="center"/>
      <protection hidden="1"/>
    </xf>
    <xf numFmtId="0" fontId="55" fillId="42" borderId="18" xfId="0" applyFont="1" applyFill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48" fillId="35" borderId="0" xfId="0" applyFont="1" applyFill="1" applyBorder="1" applyAlignment="1" applyProtection="1">
      <alignment horizontal="left" vertical="center" indent="1"/>
      <protection hidden="1"/>
    </xf>
    <xf numFmtId="0" fontId="47" fillId="35" borderId="0" xfId="0" applyFont="1" applyFill="1" applyAlignment="1" applyProtection="1">
      <alignment/>
      <protection hidden="1"/>
    </xf>
    <xf numFmtId="0" fontId="47" fillId="35" borderId="0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 horizontal="center" vertical="center" textRotation="90"/>
      <protection hidden="1"/>
    </xf>
    <xf numFmtId="0" fontId="48" fillId="35" borderId="0" xfId="0" applyFont="1" applyFill="1" applyBorder="1" applyAlignment="1" applyProtection="1">
      <alignment horizontal="center" vertical="center"/>
      <protection hidden="1"/>
    </xf>
    <xf numFmtId="0" fontId="48" fillId="35" borderId="0" xfId="0" applyFont="1" applyFill="1" applyBorder="1" applyAlignment="1" applyProtection="1">
      <alignment vertical="center"/>
      <protection hidden="1"/>
    </xf>
    <xf numFmtId="0" fontId="49" fillId="35" borderId="0" xfId="0" applyFont="1" applyFill="1" applyBorder="1" applyAlignment="1" applyProtection="1">
      <alignment horizontal="center"/>
      <protection hidden="1"/>
    </xf>
    <xf numFmtId="0" fontId="50" fillId="35" borderId="0" xfId="0" applyFont="1" applyFill="1" applyBorder="1" applyAlignment="1" applyProtection="1">
      <alignment/>
      <protection hidden="1"/>
    </xf>
    <xf numFmtId="0" fontId="47" fillId="35" borderId="0" xfId="0" applyFont="1" applyFill="1" applyBorder="1" applyAlignment="1" applyProtection="1">
      <alignment/>
      <protection hidden="1"/>
    </xf>
    <xf numFmtId="0" fontId="8" fillId="35" borderId="18" xfId="0" applyFont="1" applyFill="1" applyBorder="1" applyAlignment="1" applyProtection="1">
      <alignment horizontal="center" vertical="center"/>
      <protection hidden="1"/>
    </xf>
    <xf numFmtId="0" fontId="40" fillId="38" borderId="18" xfId="38" applyFont="1" applyFill="1" applyBorder="1" applyAlignment="1" applyProtection="1">
      <alignment horizontal="center" vertical="center"/>
      <protection hidden="1" locked="0"/>
    </xf>
    <xf numFmtId="0" fontId="98" fillId="0" borderId="11" xfId="0" applyFont="1" applyBorder="1" applyAlignment="1">
      <alignment vertical="center" wrapText="1"/>
    </xf>
    <xf numFmtId="0" fontId="99" fillId="0" borderId="11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1" fillId="0" borderId="11" xfId="38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101" fillId="0" borderId="11" xfId="0" applyFont="1" applyBorder="1" applyAlignment="1">
      <alignment vertical="center" wrapText="1"/>
    </xf>
    <xf numFmtId="0" fontId="102" fillId="0" borderId="11" xfId="0" applyFont="1" applyBorder="1" applyAlignment="1">
      <alignment vertical="center" wrapText="1"/>
    </xf>
    <xf numFmtId="0" fontId="54" fillId="43" borderId="65" xfId="0" applyFont="1" applyFill="1" applyBorder="1" applyAlignment="1">
      <alignment horizontal="center" vertical="center"/>
    </xf>
    <xf numFmtId="0" fontId="54" fillId="43" borderId="66" xfId="0" applyFont="1" applyFill="1" applyBorder="1" applyAlignment="1">
      <alignment horizontal="center" vertical="center"/>
    </xf>
    <xf numFmtId="0" fontId="54" fillId="43" borderId="67" xfId="0" applyFont="1" applyFill="1" applyBorder="1" applyAlignment="1">
      <alignment horizontal="center" vertical="center"/>
    </xf>
    <xf numFmtId="0" fontId="47" fillId="35" borderId="0" xfId="0" applyFont="1" applyFill="1" applyBorder="1" applyAlignment="1" applyProtection="1">
      <alignment horizontal="center" textRotation="90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32" fillId="0" borderId="68" xfId="0" applyFont="1" applyFill="1" applyBorder="1" applyAlignment="1" applyProtection="1">
      <alignment horizontal="center" vertical="center"/>
      <protection hidden="1"/>
    </xf>
    <xf numFmtId="0" fontId="32" fillId="0" borderId="69" xfId="0" applyFont="1" applyFill="1" applyBorder="1" applyAlignment="1" applyProtection="1">
      <alignment horizontal="center" vertical="center"/>
      <protection hidden="1"/>
    </xf>
    <xf numFmtId="0" fontId="32" fillId="0" borderId="70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center" vertical="center" textRotation="90"/>
      <protection hidden="1"/>
    </xf>
    <xf numFmtId="0" fontId="8" fillId="0" borderId="15" xfId="0" applyFont="1" applyBorder="1" applyAlignment="1">
      <alignment horizontal="center" vertical="center"/>
    </xf>
    <xf numFmtId="0" fontId="19" fillId="42" borderId="20" xfId="0" applyFont="1" applyFill="1" applyBorder="1" applyAlignment="1" applyProtection="1">
      <alignment horizontal="center" vertical="center"/>
      <protection hidden="1"/>
    </xf>
    <xf numFmtId="0" fontId="19" fillId="42" borderId="71" xfId="0" applyFont="1" applyFill="1" applyBorder="1" applyAlignment="1" applyProtection="1">
      <alignment horizontal="center" vertical="center"/>
      <protection hidden="1"/>
    </xf>
    <xf numFmtId="0" fontId="19" fillId="42" borderId="21" xfId="0" applyFont="1" applyFill="1" applyBorder="1" applyAlignment="1" applyProtection="1">
      <alignment horizontal="center" vertical="center"/>
      <protection hidden="1"/>
    </xf>
    <xf numFmtId="0" fontId="20" fillId="42" borderId="20" xfId="0" applyFont="1" applyFill="1" applyBorder="1" applyAlignment="1" applyProtection="1">
      <alignment horizontal="center" vertical="center"/>
      <protection hidden="1"/>
    </xf>
    <xf numFmtId="0" fontId="20" fillId="42" borderId="71" xfId="0" applyFont="1" applyFill="1" applyBorder="1" applyAlignment="1" applyProtection="1">
      <alignment horizontal="center" vertical="center"/>
      <protection hidden="1"/>
    </xf>
    <xf numFmtId="0" fontId="20" fillId="42" borderId="21" xfId="0" applyFont="1" applyFill="1" applyBorder="1" applyAlignment="1" applyProtection="1">
      <alignment horizontal="center" vertical="center"/>
      <protection hidden="1"/>
    </xf>
    <xf numFmtId="0" fontId="26" fillId="46" borderId="72" xfId="0" applyFont="1" applyFill="1" applyBorder="1" applyAlignment="1">
      <alignment horizontal="left" vertical="center" wrapText="1" indent="1"/>
    </xf>
    <xf numFmtId="0" fontId="26" fillId="46" borderId="66" xfId="0" applyFont="1" applyFill="1" applyBorder="1" applyAlignment="1">
      <alignment horizontal="left" vertical="center" wrapText="1" indent="1"/>
    </xf>
    <xf numFmtId="0" fontId="26" fillId="46" borderId="73" xfId="0" applyFont="1" applyFill="1" applyBorder="1" applyAlignment="1">
      <alignment horizontal="left" vertical="center" wrapText="1" indent="1"/>
    </xf>
    <xf numFmtId="0" fontId="53" fillId="47" borderId="74" xfId="0" applyFont="1" applyFill="1" applyBorder="1" applyAlignment="1">
      <alignment horizontal="center" vertical="center"/>
    </xf>
    <xf numFmtId="0" fontId="53" fillId="47" borderId="75" xfId="0" applyFont="1" applyFill="1" applyBorder="1" applyAlignment="1">
      <alignment horizontal="center" vertical="center"/>
    </xf>
    <xf numFmtId="0" fontId="19" fillId="44" borderId="71" xfId="38" applyFont="1" applyFill="1" applyBorder="1" applyAlignment="1" applyProtection="1">
      <alignment horizontal="center" vertical="center"/>
      <protection hidden="1" locked="0"/>
    </xf>
    <xf numFmtId="0" fontId="19" fillId="44" borderId="21" xfId="38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14" fillId="0" borderId="77" xfId="0" applyFont="1" applyFill="1" applyBorder="1" applyAlignment="1" applyProtection="1">
      <alignment horizontal="center" vertical="center"/>
      <protection hidden="1"/>
    </xf>
    <xf numFmtId="0" fontId="14" fillId="0" borderId="78" xfId="0" applyFont="1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 textRotation="90"/>
      <protection hidden="1"/>
    </xf>
    <xf numFmtId="0" fontId="0" fillId="33" borderId="15" xfId="0" applyFill="1" applyBorder="1" applyAlignment="1" applyProtection="1">
      <alignment horizontal="center" vertical="center" textRotation="90"/>
      <protection hidden="1"/>
    </xf>
    <xf numFmtId="0" fontId="0" fillId="33" borderId="16" xfId="0" applyFill="1" applyBorder="1" applyAlignment="1" applyProtection="1">
      <alignment horizontal="center" vertical="center" textRotation="90"/>
      <protection hidden="1"/>
    </xf>
    <xf numFmtId="0" fontId="0" fillId="33" borderId="20" xfId="0" applyFill="1" applyBorder="1" applyAlignment="1" applyProtection="1">
      <alignment horizontal="center" vertical="center" textRotation="90"/>
      <protection hidden="1"/>
    </xf>
    <xf numFmtId="0" fontId="0" fillId="33" borderId="71" xfId="0" applyFill="1" applyBorder="1" applyAlignment="1" applyProtection="1">
      <alignment horizontal="center" vertical="center" textRotation="90"/>
      <protection hidden="1"/>
    </xf>
    <xf numFmtId="0" fontId="0" fillId="33" borderId="21" xfId="0" applyFill="1" applyBorder="1" applyAlignment="1" applyProtection="1">
      <alignment horizontal="center" vertical="center" textRotation="90"/>
      <protection hidden="1"/>
    </xf>
    <xf numFmtId="0" fontId="0" fillId="34" borderId="20" xfId="0" applyFill="1" applyBorder="1" applyAlignment="1" applyProtection="1">
      <alignment horizontal="center" vertical="center" textRotation="90"/>
      <protection hidden="1"/>
    </xf>
    <xf numFmtId="0" fontId="0" fillId="34" borderId="71" xfId="0" applyFill="1" applyBorder="1" applyAlignment="1" applyProtection="1">
      <alignment horizontal="center" vertical="center" textRotation="90"/>
      <protection hidden="1"/>
    </xf>
    <xf numFmtId="0" fontId="0" fillId="34" borderId="21" xfId="0" applyFill="1" applyBorder="1" applyAlignment="1" applyProtection="1">
      <alignment horizontal="center" vertical="center" textRotation="90"/>
      <protection hidden="1"/>
    </xf>
    <xf numFmtId="0" fontId="8" fillId="44" borderId="65" xfId="0" applyFont="1" applyFill="1" applyBorder="1" applyAlignment="1" applyProtection="1">
      <alignment horizontal="center"/>
      <protection hidden="1"/>
    </xf>
    <xf numFmtId="0" fontId="8" fillId="44" borderId="66" xfId="0" applyFont="1" applyFill="1" applyBorder="1" applyAlignment="1" applyProtection="1">
      <alignment horizontal="center"/>
      <protection hidden="1"/>
    </xf>
    <xf numFmtId="0" fontId="8" fillId="44" borderId="67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 vertical="center" textRotation="90"/>
      <protection hidden="1"/>
    </xf>
    <xf numFmtId="0" fontId="0" fillId="34" borderId="16" xfId="0" applyFill="1" applyBorder="1" applyAlignment="1" applyProtection="1">
      <alignment horizontal="center" vertical="center" textRotation="90"/>
      <protection hidden="1"/>
    </xf>
    <xf numFmtId="0" fontId="0" fillId="34" borderId="15" xfId="0" applyFill="1" applyBorder="1" applyAlignment="1" applyProtection="1">
      <alignment horizontal="center" vertical="center" textRotation="90"/>
      <protection hidden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15" fillId="38" borderId="0" xfId="0" applyNumberFormat="1" applyFont="1" applyFill="1" applyBorder="1" applyAlignment="1">
      <alignment horizontal="center"/>
    </xf>
    <xf numFmtId="179" fontId="15" fillId="38" borderId="15" xfId="0" applyNumberFormat="1" applyFont="1" applyFill="1" applyBorder="1" applyAlignment="1">
      <alignment horizontal="center" vertical="top"/>
    </xf>
    <xf numFmtId="179" fontId="15" fillId="38" borderId="16" xfId="0" applyNumberFormat="1" applyFont="1" applyFill="1" applyBorder="1" applyAlignment="1">
      <alignment horizontal="center" vertical="top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9"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8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v-helios.net/" TargetMode="External" /><Relationship Id="rId3" Type="http://schemas.openxmlformats.org/officeDocument/2006/relationships/hyperlink" Target="https://www.cv-helios.ne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v-helios.net/" TargetMode="External" /><Relationship Id="rId3" Type="http://schemas.openxmlformats.org/officeDocument/2006/relationships/hyperlink" Target="http://www.cv-helios.ne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5162550</xdr:colOff>
      <xdr:row>1</xdr:row>
      <xdr:rowOff>9525</xdr:rowOff>
    </xdr:from>
    <xdr:to>
      <xdr:col>2</xdr:col>
      <xdr:colOff>6553200</xdr:colOff>
      <xdr:row>4</xdr:row>
      <xdr:rowOff>47625</xdr:rowOff>
    </xdr:to>
    <xdr:pic>
      <xdr:nvPicPr>
        <xdr:cNvPr id="1" name="Picture 138" descr="cv-helios01sor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61925"/>
          <a:ext cx="1390650" cy="638175"/>
        </a:xfrm>
        <a:prstGeom prst="rect">
          <a:avLst/>
        </a:prstGeom>
        <a:solidFill>
          <a:srgbClr val="FFF2CC"/>
        </a:solidFill>
        <a:ln w="12700" cmpd="sng">
          <a:solidFill>
            <a:srgbClr val="7F6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28575</xdr:rowOff>
    </xdr:from>
    <xdr:to>
      <xdr:col>5</xdr:col>
      <xdr:colOff>161925</xdr:colOff>
      <xdr:row>3</xdr:row>
      <xdr:rowOff>590550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71500"/>
          <a:ext cx="2962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762000</xdr:colOff>
      <xdr:row>44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703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66675</xdr:rowOff>
    </xdr:from>
    <xdr:to>
      <xdr:col>9</xdr:col>
      <xdr:colOff>285750</xdr:colOff>
      <xdr:row>10</xdr:row>
      <xdr:rowOff>0</xdr:rowOff>
    </xdr:to>
    <xdr:sp>
      <xdr:nvSpPr>
        <xdr:cNvPr id="1" name="Oval 23"/>
        <xdr:cNvSpPr>
          <a:spLocks/>
        </xdr:cNvSpPr>
      </xdr:nvSpPr>
      <xdr:spPr>
        <a:xfrm>
          <a:off x="4762500" y="1495425"/>
          <a:ext cx="1524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85725</xdr:rowOff>
    </xdr:from>
    <xdr:to>
      <xdr:col>5</xdr:col>
      <xdr:colOff>581025</xdr:colOff>
      <xdr:row>9</xdr:row>
      <xdr:rowOff>19050</xdr:rowOff>
    </xdr:to>
    <xdr:sp>
      <xdr:nvSpPr>
        <xdr:cNvPr id="2" name="Oval 24"/>
        <xdr:cNvSpPr>
          <a:spLocks/>
        </xdr:cNvSpPr>
      </xdr:nvSpPr>
      <xdr:spPr>
        <a:xfrm>
          <a:off x="2619375" y="1352550"/>
          <a:ext cx="1524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9</xdr:row>
      <xdr:rowOff>47625</xdr:rowOff>
    </xdr:from>
    <xdr:to>
      <xdr:col>7</xdr:col>
      <xdr:colOff>523875</xdr:colOff>
      <xdr:row>9</xdr:row>
      <xdr:rowOff>142875</xdr:rowOff>
    </xdr:to>
    <xdr:sp>
      <xdr:nvSpPr>
        <xdr:cNvPr id="3" name="Oval 25"/>
        <xdr:cNvSpPr>
          <a:spLocks/>
        </xdr:cNvSpPr>
      </xdr:nvSpPr>
      <xdr:spPr>
        <a:xfrm>
          <a:off x="3781425" y="1476375"/>
          <a:ext cx="1524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28</xdr:row>
      <xdr:rowOff>66675</xdr:rowOff>
    </xdr:from>
    <xdr:to>
      <xdr:col>5</xdr:col>
      <xdr:colOff>447675</xdr:colOff>
      <xdr:row>32</xdr:row>
      <xdr:rowOff>0</xdr:rowOff>
    </xdr:to>
    <xdr:sp>
      <xdr:nvSpPr>
        <xdr:cNvPr id="4" name="Freeform 29"/>
        <xdr:cNvSpPr>
          <a:spLocks/>
        </xdr:cNvSpPr>
      </xdr:nvSpPr>
      <xdr:spPr>
        <a:xfrm>
          <a:off x="1885950" y="4591050"/>
          <a:ext cx="752475" cy="581025"/>
        </a:xfrm>
        <a:custGeom>
          <a:pathLst>
            <a:path h="52" w="64">
              <a:moveTo>
                <a:pt x="12" y="11"/>
              </a:moveTo>
              <a:cubicBezTo>
                <a:pt x="18" y="7"/>
                <a:pt x="27" y="2"/>
                <a:pt x="34" y="0"/>
              </a:cubicBezTo>
              <a:cubicBezTo>
                <a:pt x="58" y="2"/>
                <a:pt x="39" y="6"/>
                <a:pt x="56" y="8"/>
              </a:cubicBezTo>
              <a:cubicBezTo>
                <a:pt x="58" y="14"/>
                <a:pt x="59" y="15"/>
                <a:pt x="64" y="19"/>
              </a:cubicBezTo>
              <a:cubicBezTo>
                <a:pt x="62" y="29"/>
                <a:pt x="59" y="27"/>
                <a:pt x="50" y="29"/>
              </a:cubicBezTo>
              <a:cubicBezTo>
                <a:pt x="47" y="37"/>
                <a:pt x="47" y="35"/>
                <a:pt x="39" y="38"/>
              </a:cubicBezTo>
              <a:cubicBezTo>
                <a:pt x="36" y="39"/>
                <a:pt x="30" y="44"/>
                <a:pt x="30" y="44"/>
              </a:cubicBezTo>
              <a:cubicBezTo>
                <a:pt x="25" y="52"/>
                <a:pt x="17" y="48"/>
                <a:pt x="7" y="47"/>
              </a:cubicBezTo>
              <a:cubicBezTo>
                <a:pt x="5" y="44"/>
                <a:pt x="3" y="41"/>
                <a:pt x="2" y="38"/>
              </a:cubicBezTo>
              <a:cubicBezTo>
                <a:pt x="1" y="36"/>
                <a:pt x="0" y="32"/>
                <a:pt x="0" y="32"/>
              </a:cubicBezTo>
              <a:cubicBezTo>
                <a:pt x="1" y="27"/>
                <a:pt x="2" y="22"/>
                <a:pt x="4" y="17"/>
              </a:cubicBezTo>
              <a:cubicBezTo>
                <a:pt x="6" y="12"/>
                <a:pt x="14" y="21"/>
                <a:pt x="12" y="11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38100</xdr:rowOff>
    </xdr:from>
    <xdr:to>
      <xdr:col>5</xdr:col>
      <xdr:colOff>200025</xdr:colOff>
      <xdr:row>30</xdr:row>
      <xdr:rowOff>95250</xdr:rowOff>
    </xdr:to>
    <xdr:sp>
      <xdr:nvSpPr>
        <xdr:cNvPr id="5" name="Freeform 30"/>
        <xdr:cNvSpPr>
          <a:spLocks/>
        </xdr:cNvSpPr>
      </xdr:nvSpPr>
      <xdr:spPr>
        <a:xfrm>
          <a:off x="2038350" y="4724400"/>
          <a:ext cx="352425" cy="219075"/>
        </a:xfrm>
        <a:custGeom>
          <a:pathLst>
            <a:path h="13" w="29">
              <a:moveTo>
                <a:pt x="7" y="3"/>
              </a:moveTo>
              <a:cubicBezTo>
                <a:pt x="10" y="2"/>
                <a:pt x="16" y="0"/>
                <a:pt x="16" y="0"/>
              </a:cubicBezTo>
              <a:cubicBezTo>
                <a:pt x="29" y="1"/>
                <a:pt x="28" y="0"/>
                <a:pt x="27" y="13"/>
              </a:cubicBezTo>
              <a:cubicBezTo>
                <a:pt x="20" y="13"/>
                <a:pt x="14" y="13"/>
                <a:pt x="7" y="12"/>
              </a:cubicBezTo>
              <a:cubicBezTo>
                <a:pt x="6" y="12"/>
                <a:pt x="7" y="10"/>
                <a:pt x="6" y="9"/>
              </a:cubicBezTo>
              <a:cubicBezTo>
                <a:pt x="5" y="8"/>
                <a:pt x="4" y="8"/>
                <a:pt x="3" y="8"/>
              </a:cubicBezTo>
              <a:cubicBezTo>
                <a:pt x="0" y="4"/>
                <a:pt x="1" y="3"/>
                <a:pt x="5" y="0"/>
              </a:cubicBezTo>
              <a:cubicBezTo>
                <a:pt x="7" y="1"/>
                <a:pt x="12" y="5"/>
                <a:pt x="7" y="3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6</xdr:row>
      <xdr:rowOff>152400</xdr:rowOff>
    </xdr:from>
    <xdr:to>
      <xdr:col>11</xdr:col>
      <xdr:colOff>19050</xdr:colOff>
      <xdr:row>10</xdr:row>
      <xdr:rowOff>123825</xdr:rowOff>
    </xdr:to>
    <xdr:sp>
      <xdr:nvSpPr>
        <xdr:cNvPr id="6" name="Freeform 31"/>
        <xdr:cNvSpPr>
          <a:spLocks/>
        </xdr:cNvSpPr>
      </xdr:nvSpPr>
      <xdr:spPr>
        <a:xfrm>
          <a:off x="5143500" y="1104900"/>
          <a:ext cx="723900" cy="609600"/>
        </a:xfrm>
        <a:custGeom>
          <a:pathLst>
            <a:path h="44" w="52">
              <a:moveTo>
                <a:pt x="10" y="7"/>
              </a:moveTo>
              <a:cubicBezTo>
                <a:pt x="14" y="6"/>
                <a:pt x="16" y="2"/>
                <a:pt x="21" y="0"/>
              </a:cubicBezTo>
              <a:cubicBezTo>
                <a:pt x="31" y="1"/>
                <a:pt x="38" y="5"/>
                <a:pt x="47" y="7"/>
              </a:cubicBezTo>
              <a:cubicBezTo>
                <a:pt x="52" y="22"/>
                <a:pt x="50" y="35"/>
                <a:pt x="36" y="40"/>
              </a:cubicBezTo>
              <a:cubicBezTo>
                <a:pt x="17" y="39"/>
                <a:pt x="6" y="44"/>
                <a:pt x="0" y="26"/>
              </a:cubicBezTo>
              <a:cubicBezTo>
                <a:pt x="0" y="22"/>
                <a:pt x="0" y="18"/>
                <a:pt x="1" y="14"/>
              </a:cubicBezTo>
              <a:cubicBezTo>
                <a:pt x="2" y="9"/>
                <a:pt x="10" y="14"/>
                <a:pt x="10" y="7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95250</xdr:rowOff>
    </xdr:from>
    <xdr:to>
      <xdr:col>10</xdr:col>
      <xdr:colOff>409575</xdr:colOff>
      <xdr:row>9</xdr:row>
      <xdr:rowOff>47625</xdr:rowOff>
    </xdr:to>
    <xdr:sp>
      <xdr:nvSpPr>
        <xdr:cNvPr id="7" name="Freeform 32"/>
        <xdr:cNvSpPr>
          <a:spLocks/>
        </xdr:cNvSpPr>
      </xdr:nvSpPr>
      <xdr:spPr>
        <a:xfrm>
          <a:off x="5324475" y="1209675"/>
          <a:ext cx="323850" cy="266700"/>
        </a:xfrm>
        <a:custGeom>
          <a:pathLst>
            <a:path h="20" w="24">
              <a:moveTo>
                <a:pt x="7" y="6"/>
              </a:moveTo>
              <a:cubicBezTo>
                <a:pt x="11" y="0"/>
                <a:pt x="17" y="5"/>
                <a:pt x="23" y="3"/>
              </a:cubicBezTo>
              <a:cubicBezTo>
                <a:pt x="22" y="9"/>
                <a:pt x="24" y="16"/>
                <a:pt x="18" y="20"/>
              </a:cubicBezTo>
              <a:cubicBezTo>
                <a:pt x="13" y="19"/>
                <a:pt x="4" y="17"/>
                <a:pt x="4" y="17"/>
              </a:cubicBezTo>
              <a:cubicBezTo>
                <a:pt x="3" y="14"/>
                <a:pt x="0" y="6"/>
                <a:pt x="7" y="6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142875</xdr:rowOff>
    </xdr:from>
    <xdr:to>
      <xdr:col>7</xdr:col>
      <xdr:colOff>228600</xdr:colOff>
      <xdr:row>10</xdr:row>
      <xdr:rowOff>47625</xdr:rowOff>
    </xdr:to>
    <xdr:sp>
      <xdr:nvSpPr>
        <xdr:cNvPr id="8" name="Freeform 33"/>
        <xdr:cNvSpPr>
          <a:spLocks/>
        </xdr:cNvSpPr>
      </xdr:nvSpPr>
      <xdr:spPr>
        <a:xfrm>
          <a:off x="3143250" y="1257300"/>
          <a:ext cx="495300" cy="381000"/>
        </a:xfrm>
        <a:custGeom>
          <a:pathLst>
            <a:path h="52" w="64">
              <a:moveTo>
                <a:pt x="12" y="11"/>
              </a:moveTo>
              <a:cubicBezTo>
                <a:pt x="18" y="7"/>
                <a:pt x="27" y="2"/>
                <a:pt x="34" y="0"/>
              </a:cubicBezTo>
              <a:cubicBezTo>
                <a:pt x="58" y="2"/>
                <a:pt x="39" y="6"/>
                <a:pt x="56" y="8"/>
              </a:cubicBezTo>
              <a:cubicBezTo>
                <a:pt x="58" y="14"/>
                <a:pt x="59" y="15"/>
                <a:pt x="64" y="19"/>
              </a:cubicBezTo>
              <a:cubicBezTo>
                <a:pt x="62" y="29"/>
                <a:pt x="59" y="27"/>
                <a:pt x="50" y="29"/>
              </a:cubicBezTo>
              <a:cubicBezTo>
                <a:pt x="47" y="37"/>
                <a:pt x="47" y="35"/>
                <a:pt x="39" y="38"/>
              </a:cubicBezTo>
              <a:cubicBezTo>
                <a:pt x="36" y="39"/>
                <a:pt x="30" y="44"/>
                <a:pt x="30" y="44"/>
              </a:cubicBezTo>
              <a:cubicBezTo>
                <a:pt x="25" y="52"/>
                <a:pt x="17" y="48"/>
                <a:pt x="7" y="47"/>
              </a:cubicBezTo>
              <a:cubicBezTo>
                <a:pt x="5" y="44"/>
                <a:pt x="3" y="41"/>
                <a:pt x="2" y="38"/>
              </a:cubicBezTo>
              <a:cubicBezTo>
                <a:pt x="1" y="36"/>
                <a:pt x="0" y="32"/>
                <a:pt x="0" y="32"/>
              </a:cubicBezTo>
              <a:cubicBezTo>
                <a:pt x="1" y="27"/>
                <a:pt x="2" y="22"/>
                <a:pt x="4" y="17"/>
              </a:cubicBezTo>
              <a:cubicBezTo>
                <a:pt x="6" y="12"/>
                <a:pt x="14" y="21"/>
                <a:pt x="12" y="11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8</xdr:row>
      <xdr:rowOff>76200</xdr:rowOff>
    </xdr:from>
    <xdr:to>
      <xdr:col>7</xdr:col>
      <xdr:colOff>47625</xdr:colOff>
      <xdr:row>9</xdr:row>
      <xdr:rowOff>47625</xdr:rowOff>
    </xdr:to>
    <xdr:sp>
      <xdr:nvSpPr>
        <xdr:cNvPr id="9" name="Freeform 34"/>
        <xdr:cNvSpPr>
          <a:spLocks/>
        </xdr:cNvSpPr>
      </xdr:nvSpPr>
      <xdr:spPr>
        <a:xfrm>
          <a:off x="3248025" y="1343025"/>
          <a:ext cx="209550" cy="133350"/>
        </a:xfrm>
        <a:custGeom>
          <a:pathLst>
            <a:path h="13" w="29">
              <a:moveTo>
                <a:pt x="7" y="3"/>
              </a:moveTo>
              <a:cubicBezTo>
                <a:pt x="10" y="2"/>
                <a:pt x="16" y="0"/>
                <a:pt x="16" y="0"/>
              </a:cubicBezTo>
              <a:cubicBezTo>
                <a:pt x="29" y="1"/>
                <a:pt x="28" y="0"/>
                <a:pt x="27" y="13"/>
              </a:cubicBezTo>
              <a:cubicBezTo>
                <a:pt x="20" y="13"/>
                <a:pt x="14" y="13"/>
                <a:pt x="7" y="12"/>
              </a:cubicBezTo>
              <a:cubicBezTo>
                <a:pt x="6" y="12"/>
                <a:pt x="7" y="10"/>
                <a:pt x="6" y="9"/>
              </a:cubicBezTo>
              <a:cubicBezTo>
                <a:pt x="5" y="8"/>
                <a:pt x="4" y="8"/>
                <a:pt x="3" y="8"/>
              </a:cubicBezTo>
              <a:cubicBezTo>
                <a:pt x="0" y="4"/>
                <a:pt x="1" y="3"/>
                <a:pt x="5" y="0"/>
              </a:cubicBezTo>
              <a:cubicBezTo>
                <a:pt x="7" y="1"/>
                <a:pt x="12" y="5"/>
                <a:pt x="7" y="3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25</xdr:row>
      <xdr:rowOff>38100</xdr:rowOff>
    </xdr:from>
    <xdr:to>
      <xdr:col>7</xdr:col>
      <xdr:colOff>295275</xdr:colOff>
      <xdr:row>27</xdr:row>
      <xdr:rowOff>152400</xdr:rowOff>
    </xdr:to>
    <xdr:sp>
      <xdr:nvSpPr>
        <xdr:cNvPr id="10" name="Freeform 35"/>
        <xdr:cNvSpPr>
          <a:spLocks/>
        </xdr:cNvSpPr>
      </xdr:nvSpPr>
      <xdr:spPr>
        <a:xfrm>
          <a:off x="3219450" y="4076700"/>
          <a:ext cx="485775" cy="438150"/>
        </a:xfrm>
        <a:custGeom>
          <a:pathLst>
            <a:path h="44" w="52">
              <a:moveTo>
                <a:pt x="10" y="7"/>
              </a:moveTo>
              <a:cubicBezTo>
                <a:pt x="14" y="6"/>
                <a:pt x="16" y="2"/>
                <a:pt x="21" y="0"/>
              </a:cubicBezTo>
              <a:cubicBezTo>
                <a:pt x="31" y="1"/>
                <a:pt x="38" y="5"/>
                <a:pt x="47" y="7"/>
              </a:cubicBezTo>
              <a:cubicBezTo>
                <a:pt x="52" y="22"/>
                <a:pt x="50" y="35"/>
                <a:pt x="36" y="40"/>
              </a:cubicBezTo>
              <a:cubicBezTo>
                <a:pt x="17" y="39"/>
                <a:pt x="6" y="44"/>
                <a:pt x="0" y="26"/>
              </a:cubicBezTo>
              <a:cubicBezTo>
                <a:pt x="0" y="22"/>
                <a:pt x="0" y="18"/>
                <a:pt x="1" y="14"/>
              </a:cubicBezTo>
              <a:cubicBezTo>
                <a:pt x="2" y="9"/>
                <a:pt x="10" y="14"/>
                <a:pt x="10" y="7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25</xdr:row>
      <xdr:rowOff>152400</xdr:rowOff>
    </xdr:from>
    <xdr:to>
      <xdr:col>7</xdr:col>
      <xdr:colOff>190500</xdr:colOff>
      <xdr:row>27</xdr:row>
      <xdr:rowOff>19050</xdr:rowOff>
    </xdr:to>
    <xdr:sp>
      <xdr:nvSpPr>
        <xdr:cNvPr id="11" name="Freeform 36"/>
        <xdr:cNvSpPr>
          <a:spLocks/>
        </xdr:cNvSpPr>
      </xdr:nvSpPr>
      <xdr:spPr>
        <a:xfrm>
          <a:off x="3371850" y="4191000"/>
          <a:ext cx="228600" cy="190500"/>
        </a:xfrm>
        <a:custGeom>
          <a:pathLst>
            <a:path h="20" w="24">
              <a:moveTo>
                <a:pt x="7" y="6"/>
              </a:moveTo>
              <a:cubicBezTo>
                <a:pt x="11" y="0"/>
                <a:pt x="17" y="5"/>
                <a:pt x="23" y="3"/>
              </a:cubicBezTo>
              <a:cubicBezTo>
                <a:pt x="22" y="9"/>
                <a:pt x="24" y="16"/>
                <a:pt x="18" y="20"/>
              </a:cubicBezTo>
              <a:cubicBezTo>
                <a:pt x="13" y="19"/>
                <a:pt x="4" y="17"/>
                <a:pt x="4" y="17"/>
              </a:cubicBezTo>
              <a:cubicBezTo>
                <a:pt x="3" y="14"/>
                <a:pt x="0" y="6"/>
                <a:pt x="7" y="6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104775</xdr:rowOff>
    </xdr:from>
    <xdr:to>
      <xdr:col>3</xdr:col>
      <xdr:colOff>438150</xdr:colOff>
      <xdr:row>30</xdr:row>
      <xdr:rowOff>66675</xdr:rowOff>
    </xdr:to>
    <xdr:sp>
      <xdr:nvSpPr>
        <xdr:cNvPr id="12" name="Freeform 37"/>
        <xdr:cNvSpPr>
          <a:spLocks/>
        </xdr:cNvSpPr>
      </xdr:nvSpPr>
      <xdr:spPr>
        <a:xfrm>
          <a:off x="971550" y="4629150"/>
          <a:ext cx="438150" cy="285750"/>
        </a:xfrm>
        <a:custGeom>
          <a:pathLst>
            <a:path h="52" w="64">
              <a:moveTo>
                <a:pt x="12" y="11"/>
              </a:moveTo>
              <a:cubicBezTo>
                <a:pt x="18" y="7"/>
                <a:pt x="27" y="2"/>
                <a:pt x="34" y="0"/>
              </a:cubicBezTo>
              <a:cubicBezTo>
                <a:pt x="58" y="2"/>
                <a:pt x="39" y="6"/>
                <a:pt x="56" y="8"/>
              </a:cubicBezTo>
              <a:cubicBezTo>
                <a:pt x="58" y="14"/>
                <a:pt x="59" y="15"/>
                <a:pt x="64" y="19"/>
              </a:cubicBezTo>
              <a:cubicBezTo>
                <a:pt x="62" y="29"/>
                <a:pt x="59" y="27"/>
                <a:pt x="50" y="29"/>
              </a:cubicBezTo>
              <a:cubicBezTo>
                <a:pt x="47" y="37"/>
                <a:pt x="47" y="35"/>
                <a:pt x="39" y="38"/>
              </a:cubicBezTo>
              <a:cubicBezTo>
                <a:pt x="36" y="39"/>
                <a:pt x="30" y="44"/>
                <a:pt x="30" y="44"/>
              </a:cubicBezTo>
              <a:cubicBezTo>
                <a:pt x="25" y="52"/>
                <a:pt x="17" y="48"/>
                <a:pt x="7" y="47"/>
              </a:cubicBezTo>
              <a:cubicBezTo>
                <a:pt x="5" y="44"/>
                <a:pt x="3" y="41"/>
                <a:pt x="2" y="38"/>
              </a:cubicBezTo>
              <a:cubicBezTo>
                <a:pt x="1" y="36"/>
                <a:pt x="0" y="32"/>
                <a:pt x="0" y="32"/>
              </a:cubicBezTo>
              <a:cubicBezTo>
                <a:pt x="1" y="27"/>
                <a:pt x="2" y="22"/>
                <a:pt x="4" y="17"/>
              </a:cubicBezTo>
              <a:cubicBezTo>
                <a:pt x="6" y="12"/>
                <a:pt x="14" y="21"/>
                <a:pt x="12" y="11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29</xdr:row>
      <xdr:rowOff>28575</xdr:rowOff>
    </xdr:from>
    <xdr:to>
      <xdr:col>3</xdr:col>
      <xdr:colOff>323850</xdr:colOff>
      <xdr:row>30</xdr:row>
      <xdr:rowOff>19050</xdr:rowOff>
    </xdr:to>
    <xdr:sp>
      <xdr:nvSpPr>
        <xdr:cNvPr id="13" name="Freeform 38"/>
        <xdr:cNvSpPr>
          <a:spLocks/>
        </xdr:cNvSpPr>
      </xdr:nvSpPr>
      <xdr:spPr>
        <a:xfrm>
          <a:off x="1123950" y="4714875"/>
          <a:ext cx="171450" cy="152400"/>
        </a:xfrm>
        <a:custGeom>
          <a:pathLst>
            <a:path h="13" w="29">
              <a:moveTo>
                <a:pt x="7" y="3"/>
              </a:moveTo>
              <a:cubicBezTo>
                <a:pt x="10" y="2"/>
                <a:pt x="16" y="0"/>
                <a:pt x="16" y="0"/>
              </a:cubicBezTo>
              <a:cubicBezTo>
                <a:pt x="29" y="1"/>
                <a:pt x="28" y="0"/>
                <a:pt x="27" y="13"/>
              </a:cubicBezTo>
              <a:cubicBezTo>
                <a:pt x="20" y="13"/>
                <a:pt x="14" y="13"/>
                <a:pt x="7" y="12"/>
              </a:cubicBezTo>
              <a:cubicBezTo>
                <a:pt x="6" y="12"/>
                <a:pt x="7" y="10"/>
                <a:pt x="6" y="9"/>
              </a:cubicBezTo>
              <a:cubicBezTo>
                <a:pt x="5" y="8"/>
                <a:pt x="4" y="8"/>
                <a:pt x="3" y="8"/>
              </a:cubicBezTo>
              <a:cubicBezTo>
                <a:pt x="0" y="4"/>
                <a:pt x="1" y="3"/>
                <a:pt x="5" y="0"/>
              </a:cubicBezTo>
              <a:cubicBezTo>
                <a:pt x="7" y="1"/>
                <a:pt x="12" y="5"/>
                <a:pt x="7" y="3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123825</xdr:rowOff>
    </xdr:from>
    <xdr:to>
      <xdr:col>9</xdr:col>
      <xdr:colOff>76200</xdr:colOff>
      <xdr:row>9</xdr:row>
      <xdr:rowOff>85725</xdr:rowOff>
    </xdr:to>
    <xdr:sp>
      <xdr:nvSpPr>
        <xdr:cNvPr id="14" name="Freeform 39"/>
        <xdr:cNvSpPr>
          <a:spLocks/>
        </xdr:cNvSpPr>
      </xdr:nvSpPr>
      <xdr:spPr>
        <a:xfrm>
          <a:off x="4267200" y="1238250"/>
          <a:ext cx="438150" cy="276225"/>
        </a:xfrm>
        <a:custGeom>
          <a:pathLst>
            <a:path h="52" w="64">
              <a:moveTo>
                <a:pt x="12" y="11"/>
              </a:moveTo>
              <a:cubicBezTo>
                <a:pt x="18" y="7"/>
                <a:pt x="27" y="2"/>
                <a:pt x="34" y="0"/>
              </a:cubicBezTo>
              <a:cubicBezTo>
                <a:pt x="58" y="2"/>
                <a:pt x="39" y="6"/>
                <a:pt x="56" y="8"/>
              </a:cubicBezTo>
              <a:cubicBezTo>
                <a:pt x="58" y="14"/>
                <a:pt x="59" y="15"/>
                <a:pt x="64" y="19"/>
              </a:cubicBezTo>
              <a:cubicBezTo>
                <a:pt x="62" y="29"/>
                <a:pt x="59" y="27"/>
                <a:pt x="50" y="29"/>
              </a:cubicBezTo>
              <a:cubicBezTo>
                <a:pt x="47" y="37"/>
                <a:pt x="47" y="35"/>
                <a:pt x="39" y="38"/>
              </a:cubicBezTo>
              <a:cubicBezTo>
                <a:pt x="36" y="39"/>
                <a:pt x="30" y="44"/>
                <a:pt x="30" y="44"/>
              </a:cubicBezTo>
              <a:cubicBezTo>
                <a:pt x="25" y="52"/>
                <a:pt x="17" y="48"/>
                <a:pt x="7" y="47"/>
              </a:cubicBezTo>
              <a:cubicBezTo>
                <a:pt x="5" y="44"/>
                <a:pt x="3" y="41"/>
                <a:pt x="2" y="38"/>
              </a:cubicBezTo>
              <a:cubicBezTo>
                <a:pt x="1" y="36"/>
                <a:pt x="0" y="32"/>
                <a:pt x="0" y="32"/>
              </a:cubicBezTo>
              <a:cubicBezTo>
                <a:pt x="1" y="27"/>
                <a:pt x="2" y="22"/>
                <a:pt x="4" y="17"/>
              </a:cubicBezTo>
              <a:cubicBezTo>
                <a:pt x="6" y="12"/>
                <a:pt x="14" y="21"/>
                <a:pt x="12" y="11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57150</xdr:rowOff>
    </xdr:from>
    <xdr:to>
      <xdr:col>8</xdr:col>
      <xdr:colOff>571500</xdr:colOff>
      <xdr:row>9</xdr:row>
      <xdr:rowOff>38100</xdr:rowOff>
    </xdr:to>
    <xdr:sp>
      <xdr:nvSpPr>
        <xdr:cNvPr id="15" name="Freeform 40"/>
        <xdr:cNvSpPr>
          <a:spLocks/>
        </xdr:cNvSpPr>
      </xdr:nvSpPr>
      <xdr:spPr>
        <a:xfrm>
          <a:off x="4419600" y="1323975"/>
          <a:ext cx="171450" cy="142875"/>
        </a:xfrm>
        <a:custGeom>
          <a:pathLst>
            <a:path h="13" w="29">
              <a:moveTo>
                <a:pt x="7" y="3"/>
              </a:moveTo>
              <a:cubicBezTo>
                <a:pt x="10" y="2"/>
                <a:pt x="16" y="0"/>
                <a:pt x="16" y="0"/>
              </a:cubicBezTo>
              <a:cubicBezTo>
                <a:pt x="29" y="1"/>
                <a:pt x="28" y="0"/>
                <a:pt x="27" y="13"/>
              </a:cubicBezTo>
              <a:cubicBezTo>
                <a:pt x="20" y="13"/>
                <a:pt x="14" y="13"/>
                <a:pt x="7" y="12"/>
              </a:cubicBezTo>
              <a:cubicBezTo>
                <a:pt x="6" y="12"/>
                <a:pt x="7" y="10"/>
                <a:pt x="6" y="9"/>
              </a:cubicBezTo>
              <a:cubicBezTo>
                <a:pt x="5" y="8"/>
                <a:pt x="4" y="8"/>
                <a:pt x="3" y="8"/>
              </a:cubicBezTo>
              <a:cubicBezTo>
                <a:pt x="0" y="4"/>
                <a:pt x="1" y="3"/>
                <a:pt x="5" y="0"/>
              </a:cubicBezTo>
              <a:cubicBezTo>
                <a:pt x="7" y="1"/>
                <a:pt x="12" y="5"/>
                <a:pt x="7" y="3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57150</xdr:rowOff>
    </xdr:from>
    <xdr:to>
      <xdr:col>5</xdr:col>
      <xdr:colOff>304800</xdr:colOff>
      <xdr:row>27</xdr:row>
      <xdr:rowOff>123825</xdr:rowOff>
    </xdr:to>
    <xdr:sp>
      <xdr:nvSpPr>
        <xdr:cNvPr id="16" name="Freeform 41"/>
        <xdr:cNvSpPr>
          <a:spLocks/>
        </xdr:cNvSpPr>
      </xdr:nvSpPr>
      <xdr:spPr>
        <a:xfrm>
          <a:off x="2000250" y="4095750"/>
          <a:ext cx="495300" cy="390525"/>
        </a:xfrm>
        <a:custGeom>
          <a:pathLst>
            <a:path h="52" w="64">
              <a:moveTo>
                <a:pt x="12" y="11"/>
              </a:moveTo>
              <a:cubicBezTo>
                <a:pt x="18" y="7"/>
                <a:pt x="27" y="2"/>
                <a:pt x="34" y="0"/>
              </a:cubicBezTo>
              <a:cubicBezTo>
                <a:pt x="58" y="2"/>
                <a:pt x="39" y="6"/>
                <a:pt x="56" y="8"/>
              </a:cubicBezTo>
              <a:cubicBezTo>
                <a:pt x="58" y="14"/>
                <a:pt x="59" y="15"/>
                <a:pt x="64" y="19"/>
              </a:cubicBezTo>
              <a:cubicBezTo>
                <a:pt x="62" y="29"/>
                <a:pt x="59" y="27"/>
                <a:pt x="50" y="29"/>
              </a:cubicBezTo>
              <a:cubicBezTo>
                <a:pt x="47" y="37"/>
                <a:pt x="47" y="35"/>
                <a:pt x="39" y="38"/>
              </a:cubicBezTo>
              <a:cubicBezTo>
                <a:pt x="36" y="39"/>
                <a:pt x="30" y="44"/>
                <a:pt x="30" y="44"/>
              </a:cubicBezTo>
              <a:cubicBezTo>
                <a:pt x="25" y="52"/>
                <a:pt x="17" y="48"/>
                <a:pt x="7" y="47"/>
              </a:cubicBezTo>
              <a:cubicBezTo>
                <a:pt x="5" y="44"/>
                <a:pt x="3" y="41"/>
                <a:pt x="2" y="38"/>
              </a:cubicBezTo>
              <a:cubicBezTo>
                <a:pt x="1" y="36"/>
                <a:pt x="0" y="32"/>
                <a:pt x="0" y="32"/>
              </a:cubicBezTo>
              <a:cubicBezTo>
                <a:pt x="1" y="27"/>
                <a:pt x="2" y="22"/>
                <a:pt x="4" y="17"/>
              </a:cubicBezTo>
              <a:cubicBezTo>
                <a:pt x="6" y="12"/>
                <a:pt x="14" y="21"/>
                <a:pt x="12" y="11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25</xdr:row>
      <xdr:rowOff>142875</xdr:rowOff>
    </xdr:from>
    <xdr:to>
      <xdr:col>5</xdr:col>
      <xdr:colOff>123825</xdr:colOff>
      <xdr:row>26</xdr:row>
      <xdr:rowOff>123825</xdr:rowOff>
    </xdr:to>
    <xdr:sp>
      <xdr:nvSpPr>
        <xdr:cNvPr id="17" name="Freeform 42"/>
        <xdr:cNvSpPr>
          <a:spLocks/>
        </xdr:cNvSpPr>
      </xdr:nvSpPr>
      <xdr:spPr>
        <a:xfrm>
          <a:off x="2105025" y="4181475"/>
          <a:ext cx="209550" cy="142875"/>
        </a:xfrm>
        <a:custGeom>
          <a:pathLst>
            <a:path h="13" w="29">
              <a:moveTo>
                <a:pt x="7" y="3"/>
              </a:moveTo>
              <a:cubicBezTo>
                <a:pt x="10" y="2"/>
                <a:pt x="16" y="0"/>
                <a:pt x="16" y="0"/>
              </a:cubicBezTo>
              <a:cubicBezTo>
                <a:pt x="29" y="1"/>
                <a:pt x="28" y="0"/>
                <a:pt x="27" y="13"/>
              </a:cubicBezTo>
              <a:cubicBezTo>
                <a:pt x="20" y="13"/>
                <a:pt x="14" y="13"/>
                <a:pt x="7" y="12"/>
              </a:cubicBezTo>
              <a:cubicBezTo>
                <a:pt x="6" y="12"/>
                <a:pt x="7" y="10"/>
                <a:pt x="6" y="9"/>
              </a:cubicBezTo>
              <a:cubicBezTo>
                <a:pt x="5" y="8"/>
                <a:pt x="4" y="8"/>
                <a:pt x="3" y="8"/>
              </a:cubicBezTo>
              <a:cubicBezTo>
                <a:pt x="0" y="4"/>
                <a:pt x="1" y="3"/>
                <a:pt x="5" y="0"/>
              </a:cubicBezTo>
              <a:cubicBezTo>
                <a:pt x="7" y="1"/>
                <a:pt x="12" y="5"/>
                <a:pt x="7" y="3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28</xdr:row>
      <xdr:rowOff>104775</xdr:rowOff>
    </xdr:from>
    <xdr:to>
      <xdr:col>11</xdr:col>
      <xdr:colOff>161925</xdr:colOff>
      <xdr:row>31</xdr:row>
      <xdr:rowOff>57150</xdr:rowOff>
    </xdr:to>
    <xdr:sp>
      <xdr:nvSpPr>
        <xdr:cNvPr id="18" name="Freeform 43"/>
        <xdr:cNvSpPr>
          <a:spLocks/>
        </xdr:cNvSpPr>
      </xdr:nvSpPr>
      <xdr:spPr>
        <a:xfrm>
          <a:off x="5524500" y="4629150"/>
          <a:ext cx="485775" cy="438150"/>
        </a:xfrm>
        <a:custGeom>
          <a:pathLst>
            <a:path h="44" w="52">
              <a:moveTo>
                <a:pt x="10" y="7"/>
              </a:moveTo>
              <a:cubicBezTo>
                <a:pt x="14" y="6"/>
                <a:pt x="16" y="2"/>
                <a:pt x="21" y="0"/>
              </a:cubicBezTo>
              <a:cubicBezTo>
                <a:pt x="31" y="1"/>
                <a:pt x="38" y="5"/>
                <a:pt x="47" y="7"/>
              </a:cubicBezTo>
              <a:cubicBezTo>
                <a:pt x="52" y="22"/>
                <a:pt x="50" y="35"/>
                <a:pt x="36" y="40"/>
              </a:cubicBezTo>
              <a:cubicBezTo>
                <a:pt x="17" y="39"/>
                <a:pt x="6" y="44"/>
                <a:pt x="0" y="26"/>
              </a:cubicBezTo>
              <a:cubicBezTo>
                <a:pt x="0" y="22"/>
                <a:pt x="0" y="18"/>
                <a:pt x="1" y="14"/>
              </a:cubicBezTo>
              <a:cubicBezTo>
                <a:pt x="2" y="9"/>
                <a:pt x="10" y="14"/>
                <a:pt x="10" y="7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29</xdr:row>
      <xdr:rowOff>57150</xdr:rowOff>
    </xdr:from>
    <xdr:to>
      <xdr:col>11</xdr:col>
      <xdr:colOff>57150</xdr:colOff>
      <xdr:row>30</xdr:row>
      <xdr:rowOff>85725</xdr:rowOff>
    </xdr:to>
    <xdr:sp>
      <xdr:nvSpPr>
        <xdr:cNvPr id="19" name="Freeform 44"/>
        <xdr:cNvSpPr>
          <a:spLocks/>
        </xdr:cNvSpPr>
      </xdr:nvSpPr>
      <xdr:spPr>
        <a:xfrm>
          <a:off x="5676900" y="4743450"/>
          <a:ext cx="228600" cy="190500"/>
        </a:xfrm>
        <a:custGeom>
          <a:pathLst>
            <a:path h="20" w="24">
              <a:moveTo>
                <a:pt x="7" y="6"/>
              </a:moveTo>
              <a:cubicBezTo>
                <a:pt x="11" y="0"/>
                <a:pt x="17" y="5"/>
                <a:pt x="23" y="3"/>
              </a:cubicBezTo>
              <a:cubicBezTo>
                <a:pt x="22" y="9"/>
                <a:pt x="24" y="16"/>
                <a:pt x="18" y="20"/>
              </a:cubicBezTo>
              <a:cubicBezTo>
                <a:pt x="13" y="19"/>
                <a:pt x="4" y="17"/>
                <a:pt x="4" y="17"/>
              </a:cubicBezTo>
              <a:cubicBezTo>
                <a:pt x="3" y="14"/>
                <a:pt x="0" y="6"/>
                <a:pt x="7" y="6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57150</xdr:rowOff>
    </xdr:from>
    <xdr:to>
      <xdr:col>4</xdr:col>
      <xdr:colOff>561975</xdr:colOff>
      <xdr:row>10</xdr:row>
      <xdr:rowOff>9525</xdr:rowOff>
    </xdr:to>
    <xdr:sp>
      <xdr:nvSpPr>
        <xdr:cNvPr id="20" name="Freeform 45"/>
        <xdr:cNvSpPr>
          <a:spLocks/>
        </xdr:cNvSpPr>
      </xdr:nvSpPr>
      <xdr:spPr>
        <a:xfrm>
          <a:off x="1657350" y="1171575"/>
          <a:ext cx="485775" cy="428625"/>
        </a:xfrm>
        <a:custGeom>
          <a:pathLst>
            <a:path h="44" w="52">
              <a:moveTo>
                <a:pt x="10" y="7"/>
              </a:moveTo>
              <a:cubicBezTo>
                <a:pt x="14" y="6"/>
                <a:pt x="16" y="2"/>
                <a:pt x="21" y="0"/>
              </a:cubicBezTo>
              <a:cubicBezTo>
                <a:pt x="31" y="1"/>
                <a:pt x="38" y="5"/>
                <a:pt x="47" y="7"/>
              </a:cubicBezTo>
              <a:cubicBezTo>
                <a:pt x="52" y="22"/>
                <a:pt x="50" y="35"/>
                <a:pt x="36" y="40"/>
              </a:cubicBezTo>
              <a:cubicBezTo>
                <a:pt x="17" y="39"/>
                <a:pt x="6" y="44"/>
                <a:pt x="0" y="26"/>
              </a:cubicBezTo>
              <a:cubicBezTo>
                <a:pt x="0" y="22"/>
                <a:pt x="0" y="18"/>
                <a:pt x="1" y="14"/>
              </a:cubicBezTo>
              <a:cubicBezTo>
                <a:pt x="2" y="9"/>
                <a:pt x="10" y="14"/>
                <a:pt x="10" y="7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19050</xdr:rowOff>
    </xdr:from>
    <xdr:to>
      <xdr:col>4</xdr:col>
      <xdr:colOff>457200</xdr:colOff>
      <xdr:row>9</xdr:row>
      <xdr:rowOff>38100</xdr:rowOff>
    </xdr:to>
    <xdr:sp>
      <xdr:nvSpPr>
        <xdr:cNvPr id="21" name="Freeform 46"/>
        <xdr:cNvSpPr>
          <a:spLocks/>
        </xdr:cNvSpPr>
      </xdr:nvSpPr>
      <xdr:spPr>
        <a:xfrm>
          <a:off x="1809750" y="1285875"/>
          <a:ext cx="228600" cy="180975"/>
        </a:xfrm>
        <a:custGeom>
          <a:pathLst>
            <a:path h="20" w="24">
              <a:moveTo>
                <a:pt x="7" y="6"/>
              </a:moveTo>
              <a:cubicBezTo>
                <a:pt x="11" y="0"/>
                <a:pt x="17" y="5"/>
                <a:pt x="23" y="3"/>
              </a:cubicBezTo>
              <a:cubicBezTo>
                <a:pt x="22" y="9"/>
                <a:pt x="24" y="16"/>
                <a:pt x="18" y="20"/>
              </a:cubicBezTo>
              <a:cubicBezTo>
                <a:pt x="13" y="19"/>
                <a:pt x="4" y="17"/>
                <a:pt x="4" y="17"/>
              </a:cubicBezTo>
              <a:cubicBezTo>
                <a:pt x="3" y="14"/>
                <a:pt x="0" y="6"/>
                <a:pt x="7" y="6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38100</xdr:rowOff>
    </xdr:from>
    <xdr:to>
      <xdr:col>7</xdr:col>
      <xdr:colOff>438150</xdr:colOff>
      <xdr:row>32</xdr:row>
      <xdr:rowOff>19050</xdr:rowOff>
    </xdr:to>
    <xdr:sp>
      <xdr:nvSpPr>
        <xdr:cNvPr id="22" name="Freeform 47"/>
        <xdr:cNvSpPr>
          <a:spLocks/>
        </xdr:cNvSpPr>
      </xdr:nvSpPr>
      <xdr:spPr>
        <a:xfrm>
          <a:off x="3124200" y="4562475"/>
          <a:ext cx="723900" cy="628650"/>
        </a:xfrm>
        <a:custGeom>
          <a:pathLst>
            <a:path h="44" w="52">
              <a:moveTo>
                <a:pt x="10" y="7"/>
              </a:moveTo>
              <a:cubicBezTo>
                <a:pt x="14" y="6"/>
                <a:pt x="16" y="2"/>
                <a:pt x="21" y="0"/>
              </a:cubicBezTo>
              <a:cubicBezTo>
                <a:pt x="31" y="1"/>
                <a:pt x="38" y="5"/>
                <a:pt x="47" y="7"/>
              </a:cubicBezTo>
              <a:cubicBezTo>
                <a:pt x="52" y="22"/>
                <a:pt x="50" y="35"/>
                <a:pt x="36" y="40"/>
              </a:cubicBezTo>
              <a:cubicBezTo>
                <a:pt x="17" y="39"/>
                <a:pt x="6" y="44"/>
                <a:pt x="0" y="26"/>
              </a:cubicBezTo>
              <a:cubicBezTo>
                <a:pt x="0" y="22"/>
                <a:pt x="0" y="18"/>
                <a:pt x="1" y="14"/>
              </a:cubicBezTo>
              <a:cubicBezTo>
                <a:pt x="2" y="9"/>
                <a:pt x="10" y="14"/>
                <a:pt x="10" y="7"/>
              </a:cubicBez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28</xdr:row>
      <xdr:rowOff>152400</xdr:rowOff>
    </xdr:from>
    <xdr:to>
      <xdr:col>7</xdr:col>
      <xdr:colOff>219075</xdr:colOff>
      <xdr:row>30</xdr:row>
      <xdr:rowOff>104775</xdr:rowOff>
    </xdr:to>
    <xdr:sp>
      <xdr:nvSpPr>
        <xdr:cNvPr id="23" name="Freeform 48"/>
        <xdr:cNvSpPr>
          <a:spLocks/>
        </xdr:cNvSpPr>
      </xdr:nvSpPr>
      <xdr:spPr>
        <a:xfrm>
          <a:off x="3305175" y="4676775"/>
          <a:ext cx="323850" cy="276225"/>
        </a:xfrm>
        <a:custGeom>
          <a:pathLst>
            <a:path h="20" w="24">
              <a:moveTo>
                <a:pt x="7" y="6"/>
              </a:moveTo>
              <a:cubicBezTo>
                <a:pt x="11" y="0"/>
                <a:pt x="17" y="5"/>
                <a:pt x="23" y="3"/>
              </a:cubicBezTo>
              <a:cubicBezTo>
                <a:pt x="22" y="9"/>
                <a:pt x="24" y="16"/>
                <a:pt x="18" y="20"/>
              </a:cubicBezTo>
              <a:cubicBezTo>
                <a:pt x="13" y="19"/>
                <a:pt x="4" y="17"/>
                <a:pt x="4" y="17"/>
              </a:cubicBezTo>
              <a:cubicBezTo>
                <a:pt x="3" y="14"/>
                <a:pt x="0" y="6"/>
                <a:pt x="7" y="6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47625</xdr:rowOff>
    </xdr:from>
    <xdr:to>
      <xdr:col>3</xdr:col>
      <xdr:colOff>304800</xdr:colOff>
      <xdr:row>26</xdr:row>
      <xdr:rowOff>142875</xdr:rowOff>
    </xdr:to>
    <xdr:sp>
      <xdr:nvSpPr>
        <xdr:cNvPr id="24" name="Oval 49"/>
        <xdr:cNvSpPr>
          <a:spLocks/>
        </xdr:cNvSpPr>
      </xdr:nvSpPr>
      <xdr:spPr>
        <a:xfrm>
          <a:off x="1123950" y="4248150"/>
          <a:ext cx="1524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15</xdr:col>
      <xdr:colOff>28575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15300" cy="518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114300</xdr:colOff>
      <xdr:row>16</xdr:row>
      <xdr:rowOff>28575</xdr:rowOff>
    </xdr:from>
    <xdr:to>
      <xdr:col>6</xdr:col>
      <xdr:colOff>485775</xdr:colOff>
      <xdr:row>20</xdr:row>
      <xdr:rowOff>38100</xdr:rowOff>
    </xdr:to>
    <xdr:sp>
      <xdr:nvSpPr>
        <xdr:cNvPr id="2" name="Line 2"/>
        <xdr:cNvSpPr>
          <a:spLocks/>
        </xdr:cNvSpPr>
      </xdr:nvSpPr>
      <xdr:spPr>
        <a:xfrm flipH="1" flipV="1">
          <a:off x="2847975" y="2486025"/>
          <a:ext cx="371475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47625</xdr:rowOff>
    </xdr:from>
    <xdr:to>
      <xdr:col>6</xdr:col>
      <xdr:colOff>485775</xdr:colOff>
      <xdr:row>28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2857500" y="3314700"/>
          <a:ext cx="352425" cy="1133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38100</xdr:rowOff>
    </xdr:from>
    <xdr:to>
      <xdr:col>8</xdr:col>
      <xdr:colOff>352425</xdr:colOff>
      <xdr:row>21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76550" y="3143250"/>
          <a:ext cx="142875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Enter 'x'es to classify</a:t>
          </a:r>
        </a:p>
      </xdr:txBody>
    </xdr:sp>
    <xdr:clientData/>
  </xdr:twoCellAnchor>
  <xdr:twoCellAnchor>
    <xdr:from>
      <xdr:col>4</xdr:col>
      <xdr:colOff>114300</xdr:colOff>
      <xdr:row>13</xdr:row>
      <xdr:rowOff>38100</xdr:rowOff>
    </xdr:from>
    <xdr:to>
      <xdr:col>5</xdr:col>
      <xdr:colOff>419100</xdr:colOff>
      <xdr:row>14</xdr:row>
      <xdr:rowOff>133350</xdr:rowOff>
    </xdr:to>
    <xdr:sp>
      <xdr:nvSpPr>
        <xdr:cNvPr id="5" name="Line 5"/>
        <xdr:cNvSpPr>
          <a:spLocks/>
        </xdr:cNvSpPr>
      </xdr:nvSpPr>
      <xdr:spPr>
        <a:xfrm flipH="1" flipV="1">
          <a:off x="1628775" y="2009775"/>
          <a:ext cx="91440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57150</xdr:rowOff>
    </xdr:from>
    <xdr:to>
      <xdr:col>7</xdr:col>
      <xdr:colOff>28575</xdr:colOff>
      <xdr:row>15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62225" y="2190750"/>
          <a:ext cx="809625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Clear entry</a:t>
          </a:r>
        </a:p>
      </xdr:txBody>
    </xdr:sp>
    <xdr:clientData/>
  </xdr:twoCellAnchor>
  <xdr:twoCellAnchor>
    <xdr:from>
      <xdr:col>2</xdr:col>
      <xdr:colOff>447675</xdr:colOff>
      <xdr:row>34</xdr:row>
      <xdr:rowOff>0</xdr:rowOff>
    </xdr:from>
    <xdr:to>
      <xdr:col>5</xdr:col>
      <xdr:colOff>523875</xdr:colOff>
      <xdr:row>35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42950" y="5372100"/>
          <a:ext cx="190500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Your classification is judged</a:t>
          </a:r>
        </a:p>
      </xdr:txBody>
    </xdr:sp>
    <xdr:clientData/>
  </xdr:twoCellAnchor>
  <xdr:twoCellAnchor>
    <xdr:from>
      <xdr:col>6</xdr:col>
      <xdr:colOff>152400</xdr:colOff>
      <xdr:row>5</xdr:row>
      <xdr:rowOff>57150</xdr:rowOff>
    </xdr:from>
    <xdr:to>
      <xdr:col>9</xdr:col>
      <xdr:colOff>76200</xdr:colOff>
      <xdr:row>6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86075" y="733425"/>
          <a:ext cx="175260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3b. Click for internet drawing</a:t>
          </a:r>
        </a:p>
      </xdr:txBody>
    </xdr:sp>
    <xdr:clientData/>
  </xdr:twoCellAnchor>
  <xdr:twoCellAnchor>
    <xdr:from>
      <xdr:col>7</xdr:col>
      <xdr:colOff>438150</xdr:colOff>
      <xdr:row>6</xdr:row>
      <xdr:rowOff>66675</xdr:rowOff>
    </xdr:from>
    <xdr:to>
      <xdr:col>7</xdr:col>
      <xdr:colOff>447675</xdr:colOff>
      <xdr:row>9</xdr:row>
      <xdr:rowOff>76200</xdr:rowOff>
    </xdr:to>
    <xdr:sp>
      <xdr:nvSpPr>
        <xdr:cNvPr id="9" name="Line 9"/>
        <xdr:cNvSpPr>
          <a:spLocks/>
        </xdr:cNvSpPr>
      </xdr:nvSpPr>
      <xdr:spPr>
        <a:xfrm>
          <a:off x="3781425" y="904875"/>
          <a:ext cx="9525" cy="495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95250</xdr:rowOff>
    </xdr:from>
    <xdr:to>
      <xdr:col>3</xdr:col>
      <xdr:colOff>104775</xdr:colOff>
      <xdr:row>33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1009650" y="4819650"/>
          <a:ext cx="0" cy="495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47625</xdr:rowOff>
    </xdr:from>
    <xdr:to>
      <xdr:col>6</xdr:col>
      <xdr:colOff>0</xdr:colOff>
      <xdr:row>4</xdr:row>
      <xdr:rowOff>47625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90525" y="400050"/>
          <a:ext cx="234315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3a. Your classification and CV is given</a:t>
          </a:r>
        </a:p>
      </xdr:txBody>
    </xdr:sp>
    <xdr:clientData/>
  </xdr:twoCellAnchor>
  <xdr:twoCellAnchor>
    <xdr:from>
      <xdr:col>2</xdr:col>
      <xdr:colOff>171450</xdr:colOff>
      <xdr:row>4</xdr:row>
      <xdr:rowOff>66675</xdr:rowOff>
    </xdr:from>
    <xdr:to>
      <xdr:col>2</xdr:col>
      <xdr:colOff>552450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466725" y="581025"/>
          <a:ext cx="390525" cy="742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238125</xdr:colOff>
      <xdr:row>21</xdr:row>
      <xdr:rowOff>85725</xdr:rowOff>
    </xdr:from>
    <xdr:to>
      <xdr:col>11</xdr:col>
      <xdr:colOff>133350</xdr:colOff>
      <xdr:row>31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3352800"/>
          <a:ext cx="2333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11</xdr:row>
      <xdr:rowOff>57150</xdr:rowOff>
    </xdr:from>
    <xdr:to>
      <xdr:col>9</xdr:col>
      <xdr:colOff>152400</xdr:colOff>
      <xdr:row>22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3800475" y="1704975"/>
          <a:ext cx="914400" cy="17526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32</xdr:row>
      <xdr:rowOff>76200</xdr:rowOff>
    </xdr:from>
    <xdr:to>
      <xdr:col>14</xdr:col>
      <xdr:colOff>371475</xdr:colOff>
      <xdr:row>33</xdr:row>
      <xdr:rowOff>76200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362700" y="5124450"/>
          <a:ext cx="161925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CV-Helios Network 2007</a:t>
          </a:r>
        </a:p>
      </xdr:txBody>
    </xdr:sp>
    <xdr:clientData/>
  </xdr:twoCellAnchor>
  <xdr:twoCellAnchor>
    <xdr:from>
      <xdr:col>10</xdr:col>
      <xdr:colOff>466725</xdr:colOff>
      <xdr:row>4</xdr:row>
      <xdr:rowOff>142875</xdr:rowOff>
    </xdr:from>
    <xdr:to>
      <xdr:col>14</xdr:col>
      <xdr:colOff>371475</xdr:colOff>
      <xdr:row>5</xdr:row>
      <xdr:rowOff>142875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638800" y="657225"/>
          <a:ext cx="234315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2a. You receive best matches underway</a:t>
          </a:r>
        </a:p>
      </xdr:txBody>
    </xdr:sp>
    <xdr:clientData/>
  </xdr:twoCellAnchor>
  <xdr:twoCellAnchor>
    <xdr:from>
      <xdr:col>12</xdr:col>
      <xdr:colOff>104775</xdr:colOff>
      <xdr:row>6</xdr:row>
      <xdr:rowOff>0</xdr:rowOff>
    </xdr:from>
    <xdr:to>
      <xdr:col>12</xdr:col>
      <xdr:colOff>590550</xdr:colOff>
      <xdr:row>9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496050" y="838200"/>
          <a:ext cx="485775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66675</xdr:rowOff>
    </xdr:from>
    <xdr:to>
      <xdr:col>11</xdr:col>
      <xdr:colOff>142875</xdr:colOff>
      <xdr:row>36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409950" y="5534025"/>
          <a:ext cx="2514600" cy="1905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3c. You may use and download Input Form</a:t>
          </a:r>
        </a:p>
      </xdr:txBody>
    </xdr:sp>
    <xdr:clientData/>
  </xdr:twoCellAnchor>
  <xdr:twoCellAnchor>
    <xdr:from>
      <xdr:col>6</xdr:col>
      <xdr:colOff>590550</xdr:colOff>
      <xdr:row>33</xdr:row>
      <xdr:rowOff>114300</xdr:rowOff>
    </xdr:from>
    <xdr:to>
      <xdr:col>7</xdr:col>
      <xdr:colOff>323850</xdr:colOff>
      <xdr:row>35</xdr:row>
      <xdr:rowOff>47625</xdr:rowOff>
    </xdr:to>
    <xdr:sp>
      <xdr:nvSpPr>
        <xdr:cNvPr id="19" name="Line 19"/>
        <xdr:cNvSpPr>
          <a:spLocks/>
        </xdr:cNvSpPr>
      </xdr:nvSpPr>
      <xdr:spPr>
        <a:xfrm flipH="1" flipV="1">
          <a:off x="3324225" y="5324475"/>
          <a:ext cx="342900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v-helios.net/classifications/class.xls" TargetMode="External" /><Relationship Id="rId2" Type="http://schemas.openxmlformats.org/officeDocument/2006/relationships/hyperlink" Target="http://www.cv-helios.net/mif2002.xls" TargetMode="External" /><Relationship Id="rId3" Type="http://schemas.openxmlformats.org/officeDocument/2006/relationships/hyperlink" Target="http://www.cv-helios.ne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v-helios.net/mif2002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6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2" max="2" width="3.57421875" style="0" customWidth="1"/>
    <col min="3" max="3" width="100.57421875" style="0" customWidth="1"/>
  </cols>
  <sheetData>
    <row r="1" spans="2:3" ht="12">
      <c r="B1" s="101"/>
      <c r="C1" s="102"/>
    </row>
    <row r="2" spans="2:3" ht="15">
      <c r="B2" s="103"/>
      <c r="C2" s="254" t="s">
        <v>132</v>
      </c>
    </row>
    <row r="3" spans="2:3" ht="15">
      <c r="B3" s="103"/>
      <c r="C3" s="254"/>
    </row>
    <row r="4" spans="2:3" ht="17.25">
      <c r="B4" s="103"/>
      <c r="C4" s="255" t="s">
        <v>133</v>
      </c>
    </row>
    <row r="5" spans="2:3" ht="15">
      <c r="B5" s="103"/>
      <c r="C5" s="254" t="s">
        <v>159</v>
      </c>
    </row>
    <row r="6" spans="2:3" ht="15">
      <c r="B6" s="103"/>
      <c r="C6" s="254"/>
    </row>
    <row r="7" spans="2:3" ht="15">
      <c r="B7" s="103"/>
      <c r="C7" s="254" t="s">
        <v>134</v>
      </c>
    </row>
    <row r="8" spans="2:3" ht="15">
      <c r="B8" s="103"/>
      <c r="C8" s="254" t="s">
        <v>135</v>
      </c>
    </row>
    <row r="9" spans="2:3" ht="30.75">
      <c r="B9" s="103"/>
      <c r="C9" s="254" t="s">
        <v>162</v>
      </c>
    </row>
    <row r="10" spans="2:3" ht="15">
      <c r="B10" s="103"/>
      <c r="C10" s="254"/>
    </row>
    <row r="11" spans="2:3" ht="15">
      <c r="B11" s="103"/>
      <c r="C11" s="256" t="s">
        <v>136</v>
      </c>
    </row>
    <row r="12" spans="2:3" ht="15">
      <c r="B12" s="103"/>
      <c r="C12" s="254" t="s">
        <v>137</v>
      </c>
    </row>
    <row r="13" spans="2:3" ht="15">
      <c r="B13" s="103"/>
      <c r="C13" s="254" t="s">
        <v>138</v>
      </c>
    </row>
    <row r="14" spans="2:3" ht="15">
      <c r="B14" s="103"/>
      <c r="C14" s="256" t="s">
        <v>139</v>
      </c>
    </row>
    <row r="15" spans="2:3" ht="15">
      <c r="B15" s="103"/>
      <c r="C15" s="254" t="s">
        <v>140</v>
      </c>
    </row>
    <row r="16" spans="2:3" ht="15">
      <c r="B16" s="103"/>
      <c r="C16" s="254" t="s">
        <v>141</v>
      </c>
    </row>
    <row r="17" spans="2:3" ht="15">
      <c r="B17" s="103"/>
      <c r="C17" s="256" t="s">
        <v>142</v>
      </c>
    </row>
    <row r="18" spans="2:3" ht="15">
      <c r="B18" s="103"/>
      <c r="C18" s="254" t="s">
        <v>143</v>
      </c>
    </row>
    <row r="19" spans="2:3" ht="15">
      <c r="B19" s="103"/>
      <c r="C19" s="254"/>
    </row>
    <row r="20" spans="2:3" ht="15">
      <c r="B20" s="103"/>
      <c r="C20" s="254" t="s">
        <v>144</v>
      </c>
    </row>
    <row r="21" spans="2:3" ht="15">
      <c r="B21" s="103"/>
      <c r="C21" s="254" t="s">
        <v>145</v>
      </c>
    </row>
    <row r="22" spans="2:3" ht="15">
      <c r="B22" s="103"/>
      <c r="C22" s="254"/>
    </row>
    <row r="23" spans="2:3" ht="15">
      <c r="B23" s="103"/>
      <c r="C23" s="254" t="s">
        <v>146</v>
      </c>
    </row>
    <row r="24" spans="2:3" ht="15">
      <c r="B24" s="103"/>
      <c r="C24" s="254"/>
    </row>
    <row r="25" spans="2:3" ht="30.75">
      <c r="B25" s="103"/>
      <c r="C25" s="254" t="s">
        <v>147</v>
      </c>
    </row>
    <row r="26" spans="2:3" ht="15">
      <c r="B26" s="103"/>
      <c r="C26" s="254"/>
    </row>
    <row r="27" spans="2:3" ht="15">
      <c r="B27" s="103"/>
      <c r="C27" s="254" t="s">
        <v>148</v>
      </c>
    </row>
    <row r="28" spans="2:3" ht="15">
      <c r="B28" s="103"/>
      <c r="C28" s="254"/>
    </row>
    <row r="29" spans="2:3" ht="30.75">
      <c r="B29" s="103"/>
      <c r="C29" s="254" t="s">
        <v>160</v>
      </c>
    </row>
    <row r="30" spans="2:3" ht="15">
      <c r="B30" s="103"/>
      <c r="C30" s="254" t="s">
        <v>161</v>
      </c>
    </row>
    <row r="31" spans="2:3" ht="15">
      <c r="B31" s="103"/>
      <c r="C31" s="254"/>
    </row>
    <row r="32" spans="2:3" ht="15">
      <c r="B32" s="103"/>
      <c r="C32" s="254" t="s">
        <v>149</v>
      </c>
    </row>
    <row r="33" spans="2:3" ht="15">
      <c r="B33" s="103"/>
      <c r="C33" s="254"/>
    </row>
    <row r="34" spans="2:3" ht="15">
      <c r="B34" s="103"/>
      <c r="C34" s="254" t="s">
        <v>150</v>
      </c>
    </row>
    <row r="35" spans="2:3" ht="15">
      <c r="B35" s="103"/>
      <c r="C35" s="254"/>
    </row>
    <row r="36" spans="2:3" ht="12">
      <c r="B36" s="103"/>
      <c r="C36" s="257" t="s">
        <v>151</v>
      </c>
    </row>
    <row r="37" spans="2:3" ht="12">
      <c r="B37" s="103"/>
      <c r="C37" s="257" t="s">
        <v>152</v>
      </c>
    </row>
    <row r="38" spans="2:3" ht="15">
      <c r="B38" s="103"/>
      <c r="C38" s="254"/>
    </row>
    <row r="39" spans="2:3" ht="15">
      <c r="B39" s="103"/>
      <c r="C39" s="254" t="s">
        <v>153</v>
      </c>
    </row>
    <row r="40" spans="2:3" ht="12">
      <c r="B40" s="103"/>
      <c r="C40" s="258"/>
    </row>
    <row r="41" spans="2:3" ht="15">
      <c r="B41" s="103"/>
      <c r="C41" s="259" t="s">
        <v>154</v>
      </c>
    </row>
    <row r="42" spans="2:3" ht="15">
      <c r="B42" s="103"/>
      <c r="C42" s="260" t="s">
        <v>155</v>
      </c>
    </row>
    <row r="43" spans="2:3" ht="15">
      <c r="B43" s="103"/>
      <c r="C43" s="260" t="s">
        <v>156</v>
      </c>
    </row>
    <row r="44" spans="2:3" ht="15">
      <c r="B44" s="103"/>
      <c r="C44" s="260" t="s">
        <v>157</v>
      </c>
    </row>
    <row r="45" spans="2:3" ht="12">
      <c r="B45" s="103"/>
      <c r="C45" s="257" t="s">
        <v>158</v>
      </c>
    </row>
    <row r="46" spans="2:3" ht="12">
      <c r="B46" s="106"/>
      <c r="C46" s="107"/>
    </row>
  </sheetData>
  <sheetProtection/>
  <hyperlinks>
    <hyperlink ref="C36" r:id="rId1" display="http://www.cv-helios.net/classifications/class.xls"/>
    <hyperlink ref="C37" r:id="rId2" display="http://www.cv-helios.net/mif2002.xls"/>
    <hyperlink ref="C45" r:id="rId3" display="http://www.cv-helios.net/"/>
  </hyperlinks>
  <printOptions/>
  <pageMargins left="0.5118110236220472" right="0.5118110236220472" top="0.7480314960629921" bottom="0.7480314960629921" header="0.31496062992125984" footer="0.31496062992125984"/>
  <pageSetup orientation="portrait" paperSize="9" scale="8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73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9.140625" style="0" customWidth="1"/>
    <col min="2" max="3" width="5.7109375" style="0" customWidth="1"/>
    <col min="4" max="4" width="25.57421875" style="0" customWidth="1"/>
    <col min="5" max="5" width="16.421875" style="0" customWidth="1"/>
    <col min="6" max="6" width="7.7109375" style="0" customWidth="1"/>
    <col min="7" max="7" width="10.7109375" style="0" customWidth="1"/>
    <col min="8" max="8" width="15.7109375" style="0" customWidth="1"/>
    <col min="9" max="11" width="9.140625" style="0" hidden="1" customWidth="1"/>
    <col min="12" max="12" width="3.8515625" style="0" customWidth="1"/>
    <col min="13" max="13" width="7.7109375" style="0" customWidth="1"/>
    <col min="14" max="15" width="11.7109375" style="0" customWidth="1"/>
    <col min="16" max="18" width="5.7109375" style="0" customWidth="1"/>
    <col min="19" max="21" width="8.28125" style="0" customWidth="1"/>
    <col min="22" max="22" width="6.140625" style="0" customWidth="1"/>
    <col min="23" max="30" width="5.7109375" style="0" customWidth="1"/>
    <col min="31" max="31" width="3.8515625" style="0" customWidth="1"/>
    <col min="32" max="35" width="9.140625" style="1" customWidth="1"/>
    <col min="36" max="42" width="9.140625" style="0" customWidth="1"/>
    <col min="43" max="43" width="14.28125" style="0" customWidth="1"/>
  </cols>
  <sheetData>
    <row r="1" ht="12.75" thickBot="1"/>
    <row r="2" spans="2:22" ht="30" customHeight="1" thickBot="1">
      <c r="B2" s="261" t="s">
        <v>42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2:61" ht="50.25" customHeight="1">
      <c r="B3" s="215"/>
      <c r="C3" s="104"/>
      <c r="D3" s="104"/>
      <c r="E3" s="104"/>
      <c r="F3" s="104"/>
      <c r="G3" s="104"/>
      <c r="H3" s="52"/>
      <c r="I3" s="207"/>
      <c r="J3" s="207"/>
      <c r="K3" s="207"/>
      <c r="L3" s="207"/>
      <c r="M3" s="145"/>
      <c r="N3" s="280" t="s">
        <v>43</v>
      </c>
      <c r="O3" s="281"/>
      <c r="P3" s="104"/>
      <c r="Q3" s="104"/>
      <c r="R3" s="104"/>
      <c r="S3" s="104"/>
      <c r="T3" s="104"/>
      <c r="U3" s="104"/>
      <c r="V3" s="216"/>
      <c r="AT3" s="269" t="s">
        <v>16</v>
      </c>
      <c r="AU3" s="269"/>
      <c r="AV3" s="269" t="s">
        <v>21</v>
      </c>
      <c r="AW3" s="269"/>
      <c r="AX3" s="269"/>
      <c r="AY3" s="269" t="s">
        <v>26</v>
      </c>
      <c r="AZ3" s="269"/>
      <c r="BA3" s="269"/>
      <c r="BB3" s="269"/>
      <c r="BC3" s="269" t="s">
        <v>32</v>
      </c>
      <c r="BD3" s="269"/>
      <c r="BE3" s="269" t="s">
        <v>44</v>
      </c>
      <c r="BF3" s="269"/>
      <c r="BG3" s="269"/>
      <c r="BH3" s="269"/>
      <c r="BI3" s="264" t="s">
        <v>45</v>
      </c>
    </row>
    <row r="4" spans="2:61" ht="51" customHeight="1">
      <c r="B4" s="215"/>
      <c r="C4" s="52"/>
      <c r="D4" s="52"/>
      <c r="E4" s="52"/>
      <c r="F4" s="52"/>
      <c r="G4" s="52"/>
      <c r="H4" s="52"/>
      <c r="I4" s="207"/>
      <c r="J4" s="207"/>
      <c r="K4" s="207"/>
      <c r="L4" s="207"/>
      <c r="M4" s="145"/>
      <c r="N4" s="223" t="s">
        <v>46</v>
      </c>
      <c r="O4" s="224" t="s">
        <v>47</v>
      </c>
      <c r="P4" s="104"/>
      <c r="Q4" s="104"/>
      <c r="R4" s="104"/>
      <c r="S4" s="104"/>
      <c r="T4" s="104"/>
      <c r="U4" s="104"/>
      <c r="V4" s="216"/>
      <c r="AT4" s="246" t="s">
        <v>17</v>
      </c>
      <c r="AU4" s="246" t="s">
        <v>19</v>
      </c>
      <c r="AV4" s="246" t="s">
        <v>22</v>
      </c>
      <c r="AW4" s="246" t="s">
        <v>24</v>
      </c>
      <c r="AX4" s="246" t="s">
        <v>25</v>
      </c>
      <c r="AY4" s="246" t="s">
        <v>27</v>
      </c>
      <c r="AZ4" s="246" t="s">
        <v>28</v>
      </c>
      <c r="BA4" s="246" t="s">
        <v>29</v>
      </c>
      <c r="BB4" s="246" t="s">
        <v>30</v>
      </c>
      <c r="BC4" s="246" t="s">
        <v>33</v>
      </c>
      <c r="BD4" s="246" t="s">
        <v>35</v>
      </c>
      <c r="BE4" s="246" t="s">
        <v>37</v>
      </c>
      <c r="BF4" s="246" t="s">
        <v>38</v>
      </c>
      <c r="BG4" s="246" t="s">
        <v>39</v>
      </c>
      <c r="BH4" s="246" t="s">
        <v>40</v>
      </c>
      <c r="BI4" s="264"/>
    </row>
    <row r="5" spans="2:61" ht="15.75" customHeight="1">
      <c r="B5" s="215"/>
      <c r="C5" s="207"/>
      <c r="D5" s="231">
        <f>IF(COUNTA(F11:F26)&gt;5,"",IF(Detailed!X1=0,"",UPPER(Detailed!X1)))</f>
      </c>
      <c r="E5" s="232">
        <f>IF(COUNTA(F11:F26)&gt;5,"",IF(Detailed!Y1=0,"",Detailed!Y1))</f>
      </c>
      <c r="F5" s="207"/>
      <c r="G5" s="207"/>
      <c r="H5" s="253">
        <f>IF(COUNTA(F11:F26)&gt;5,"",HYPERLINK(CONCATENATE("http://www.cv-helios.net/classifications/",E5,"-",LOWER(D5),".jpg"),D5))</f>
      </c>
      <c r="I5" s="207"/>
      <c r="J5" s="207"/>
      <c r="K5" s="207"/>
      <c r="L5" s="207"/>
      <c r="M5" s="145"/>
      <c r="N5" s="219">
        <v>1</v>
      </c>
      <c r="O5" s="220" t="s">
        <v>48</v>
      </c>
      <c r="P5" s="104"/>
      <c r="Q5" s="104"/>
      <c r="R5" s="104"/>
      <c r="S5" s="284" t="s">
        <v>130</v>
      </c>
      <c r="T5" s="284"/>
      <c r="U5" s="284"/>
      <c r="V5" s="216"/>
      <c r="AF5" s="54"/>
      <c r="AG5" s="54"/>
      <c r="AH5" s="244">
        <v>1</v>
      </c>
      <c r="AI5" s="244">
        <f>RANK(Detailed!AC11,Detailed!$AC$11:$AC$70,0)</f>
        <v>1</v>
      </c>
      <c r="AT5" s="247" t="s">
        <v>49</v>
      </c>
      <c r="AU5" s="248"/>
      <c r="AV5" s="248"/>
      <c r="AW5" s="248"/>
      <c r="AX5" s="248"/>
      <c r="AY5" s="247" t="s">
        <v>49</v>
      </c>
      <c r="AZ5" s="248"/>
      <c r="BA5" s="248"/>
      <c r="BB5" s="248"/>
      <c r="BC5" s="248"/>
      <c r="BD5" s="248"/>
      <c r="BE5" s="247" t="s">
        <v>49</v>
      </c>
      <c r="BF5" s="248"/>
      <c r="BG5" s="248"/>
      <c r="BH5" s="248"/>
      <c r="BI5" s="249">
        <f>COUNTIF(AT5:BH5,"X")</f>
        <v>3</v>
      </c>
    </row>
    <row r="6" spans="2:61" ht="15.75" customHeight="1">
      <c r="B6" s="215"/>
      <c r="C6" s="207"/>
      <c r="D6" s="55" t="s">
        <v>50</v>
      </c>
      <c r="E6" s="55" t="s">
        <v>51</v>
      </c>
      <c r="F6" s="207"/>
      <c r="G6" s="207"/>
      <c r="H6" s="252">
        <f>IF(H5="","","Click for drawing")</f>
      </c>
      <c r="I6" s="207"/>
      <c r="J6" s="207"/>
      <c r="K6" s="207"/>
      <c r="L6" s="207"/>
      <c r="M6" s="145"/>
      <c r="N6" s="219">
        <v>2</v>
      </c>
      <c r="O6" s="220" t="s">
        <v>52</v>
      </c>
      <c r="P6" s="104"/>
      <c r="Q6" s="104"/>
      <c r="R6" s="104"/>
      <c r="S6" s="229" t="s">
        <v>128</v>
      </c>
      <c r="T6" s="229" t="s">
        <v>51</v>
      </c>
      <c r="U6" s="229" t="s">
        <v>129</v>
      </c>
      <c r="V6" s="216"/>
      <c r="AF6" s="54"/>
      <c r="AG6" s="54"/>
      <c r="AH6" s="244">
        <f>AH5+1</f>
        <v>2</v>
      </c>
      <c r="AI6" s="244">
        <f>RANK(Detailed!AC12,Detailed!$AC$11:$AC$70,0)</f>
        <v>2</v>
      </c>
      <c r="AT6" s="248"/>
      <c r="AU6" s="247" t="s">
        <v>49</v>
      </c>
      <c r="AV6" s="248"/>
      <c r="AW6" s="248"/>
      <c r="AX6" s="248"/>
      <c r="AY6" s="247" t="s">
        <v>49</v>
      </c>
      <c r="AZ6" s="248"/>
      <c r="BA6" s="248"/>
      <c r="BB6" s="248"/>
      <c r="BC6" s="248"/>
      <c r="BD6" s="248"/>
      <c r="BE6" s="248"/>
      <c r="BF6" s="247" t="s">
        <v>49</v>
      </c>
      <c r="BG6" s="248"/>
      <c r="BH6" s="248"/>
      <c r="BI6" s="249">
        <f aca="true" t="shared" si="0" ref="BI6:BI64">COUNTIF(AT6:BH6,"X")</f>
        <v>3</v>
      </c>
    </row>
    <row r="7" spans="2:61" ht="15.75" customHeight="1">
      <c r="B7" s="215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145"/>
      <c r="N7" s="219">
        <v>3</v>
      </c>
      <c r="O7" s="220" t="s">
        <v>53</v>
      </c>
      <c r="P7" s="104"/>
      <c r="Q7" s="104"/>
      <c r="R7" s="104"/>
      <c r="S7" s="235">
        <f aca="true" ca="1" t="shared" si="1" ref="S7:S16">IF(COUNTA($F$11:$F$26)=0,"",OFFSET($O$4,MATCH(AH5,$AI$5:$AI$64,0),0))</f>
      </c>
      <c r="T7" s="235">
        <f aca="true" t="shared" si="2" ref="T7:T16">IF(COUNTA($F$11:$F$26)=0,"",MATCH(AH5,$AI$5:$AI$64,0))</f>
      </c>
      <c r="U7" s="236">
        <f ca="1">IF(COUNTA($F$11:$F$26)=0,"",OFFSET(Detailed!$AC$10,MATCH(AH5,$AI$5:$AI$64,0),0))</f>
      </c>
      <c r="V7" s="216"/>
      <c r="AF7" s="54"/>
      <c r="AG7" s="54"/>
      <c r="AH7" s="244">
        <f aca="true" t="shared" si="3" ref="AH7:AH64">AH6+1</f>
        <v>3</v>
      </c>
      <c r="AI7" s="244">
        <f>RANK(Detailed!AC13,Detailed!$AC$11:$AC$70,0)</f>
        <v>3</v>
      </c>
      <c r="AT7" s="248"/>
      <c r="AU7" s="247" t="s">
        <v>49</v>
      </c>
      <c r="AV7" s="248"/>
      <c r="AW7" s="248"/>
      <c r="AX7" s="248"/>
      <c r="AY7" s="247" t="s">
        <v>49</v>
      </c>
      <c r="AZ7" s="248"/>
      <c r="BA7" s="248"/>
      <c r="BB7" s="248"/>
      <c r="BC7" s="248"/>
      <c r="BD7" s="248"/>
      <c r="BE7" s="248"/>
      <c r="BF7" s="248"/>
      <c r="BG7" s="247" t="s">
        <v>49</v>
      </c>
      <c r="BH7" s="248"/>
      <c r="BI7" s="249">
        <f t="shared" si="0"/>
        <v>3</v>
      </c>
    </row>
    <row r="8" spans="2:61" ht="15.75" customHeight="1">
      <c r="B8" s="215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145"/>
      <c r="N8" s="219">
        <v>4</v>
      </c>
      <c r="O8" s="220" t="s">
        <v>54</v>
      </c>
      <c r="P8" s="104"/>
      <c r="Q8" s="104"/>
      <c r="R8" s="104"/>
      <c r="S8" s="237">
        <f ca="1" t="shared" si="1"/>
      </c>
      <c r="T8" s="237">
        <f t="shared" si="2"/>
      </c>
      <c r="U8" s="238">
        <f ca="1">IF(COUNTA($F$11:$F$26)=0,"",OFFSET(Detailed!$AC$10,MATCH(AH6,$AI$5:$AI$64,0),0))</f>
      </c>
      <c r="V8" s="216"/>
      <c r="AF8" s="54"/>
      <c r="AG8" s="54"/>
      <c r="AH8" s="244">
        <f t="shared" si="3"/>
        <v>4</v>
      </c>
      <c r="AI8" s="244">
        <f>RANK(Detailed!AC14,Detailed!$AC$11:$AC$70,0)</f>
        <v>4</v>
      </c>
      <c r="AT8" s="248"/>
      <c r="AU8" s="247" t="s">
        <v>49</v>
      </c>
      <c r="AV8" s="248"/>
      <c r="AW8" s="248"/>
      <c r="AX8" s="248"/>
      <c r="AY8" s="248"/>
      <c r="AZ8" s="247" t="s">
        <v>49</v>
      </c>
      <c r="BA8" s="248"/>
      <c r="BB8" s="248"/>
      <c r="BC8" s="248"/>
      <c r="BD8" s="248"/>
      <c r="BE8" s="247" t="s">
        <v>49</v>
      </c>
      <c r="BF8" s="248"/>
      <c r="BG8" s="248"/>
      <c r="BH8" s="248"/>
      <c r="BI8" s="249">
        <f t="shared" si="0"/>
        <v>3</v>
      </c>
    </row>
    <row r="9" spans="2:61" ht="15.75" customHeight="1">
      <c r="B9" s="215"/>
      <c r="C9" s="207"/>
      <c r="D9" s="209" t="str">
        <f>IF(D28="CORRECT CLASSIFICATION","*","fill in 'X' for each category")</f>
        <v>fill in 'X' for each category</v>
      </c>
      <c r="E9" s="207"/>
      <c r="F9" s="266">
        <f>IF(ISERROR(Detailed!AB8),"",IF(COUNTA(F11:F26)&lt;3,"",Detailed!AB8))</f>
      </c>
      <c r="G9" s="267"/>
      <c r="H9" s="268"/>
      <c r="I9" s="56">
        <f>IF(F11="","",IF(AND(F11="X",F17="X"),"A","H"))</f>
      </c>
      <c r="J9" s="207"/>
      <c r="K9" s="57">
        <f>IF(I10="C",1,"")</f>
      </c>
      <c r="L9" s="207"/>
      <c r="M9" s="145"/>
      <c r="N9" s="219">
        <v>5</v>
      </c>
      <c r="O9" s="220" t="s">
        <v>55</v>
      </c>
      <c r="P9" s="104"/>
      <c r="Q9" s="104"/>
      <c r="R9" s="104"/>
      <c r="S9" s="237">
        <f ca="1" t="shared" si="1"/>
      </c>
      <c r="T9" s="237">
        <f t="shared" si="2"/>
      </c>
      <c r="U9" s="238">
        <f ca="1">IF(COUNTA($F$11:$F$26)=0,"",OFFSET(Detailed!$AC$10,MATCH(AH7,$AI$5:$AI$64,0),0))</f>
      </c>
      <c r="V9" s="216"/>
      <c r="AF9" s="54"/>
      <c r="AG9" s="54"/>
      <c r="AH9" s="244">
        <f t="shared" si="3"/>
        <v>5</v>
      </c>
      <c r="AI9" s="244">
        <f>RANK(Detailed!AC15,Detailed!$AC$11:$AC$70,0)</f>
        <v>5</v>
      </c>
      <c r="AT9" s="248"/>
      <c r="AU9" s="247" t="s">
        <v>49</v>
      </c>
      <c r="AV9" s="248"/>
      <c r="AW9" s="248"/>
      <c r="AX9" s="248"/>
      <c r="AY9" s="248"/>
      <c r="AZ9" s="247" t="s">
        <v>49</v>
      </c>
      <c r="BA9" s="248"/>
      <c r="BB9" s="248"/>
      <c r="BC9" s="248"/>
      <c r="BD9" s="248"/>
      <c r="BE9" s="248"/>
      <c r="BF9" s="247" t="s">
        <v>49</v>
      </c>
      <c r="BG9" s="248"/>
      <c r="BH9" s="248"/>
      <c r="BI9" s="249">
        <f t="shared" si="0"/>
        <v>3</v>
      </c>
    </row>
    <row r="10" spans="2:61" ht="15.75" customHeight="1" thickBot="1">
      <c r="B10" s="215"/>
      <c r="C10" s="208"/>
      <c r="D10" s="207"/>
      <c r="E10" s="207"/>
      <c r="F10" s="207"/>
      <c r="G10" s="207"/>
      <c r="H10" s="207"/>
      <c r="I10" s="58">
        <f>IF(F12="","","C")</f>
      </c>
      <c r="J10" s="57">
        <f>IF(OR(I10="H",I9="A"),1,"")</f>
      </c>
      <c r="K10" s="57">
        <f>IF(I11="B",1,"")</f>
      </c>
      <c r="L10" s="207"/>
      <c r="M10" s="145"/>
      <c r="N10" s="219">
        <v>6</v>
      </c>
      <c r="O10" s="220" t="s">
        <v>56</v>
      </c>
      <c r="P10" s="104"/>
      <c r="Q10" s="104"/>
      <c r="R10" s="104"/>
      <c r="S10" s="237">
        <f ca="1" t="shared" si="1"/>
      </c>
      <c r="T10" s="237">
        <f t="shared" si="2"/>
      </c>
      <c r="U10" s="238">
        <f ca="1">IF(COUNTA($F$11:$F$26)=0,"",OFFSET(Detailed!$AC$10,MATCH(AH8,$AI$5:$AI$64,0),0))</f>
      </c>
      <c r="V10" s="216"/>
      <c r="AG10" s="54"/>
      <c r="AH10" s="244">
        <f t="shared" si="3"/>
        <v>6</v>
      </c>
      <c r="AI10" s="244">
        <f>RANK(Detailed!AC16,Detailed!$AC$11:$AC$70,0)</f>
        <v>6</v>
      </c>
      <c r="AT10" s="248"/>
      <c r="AU10" s="247" t="s">
        <v>49</v>
      </c>
      <c r="AV10" s="248"/>
      <c r="AW10" s="248"/>
      <c r="AX10" s="248"/>
      <c r="AY10" s="248"/>
      <c r="AZ10" s="247" t="s">
        <v>49</v>
      </c>
      <c r="BA10" s="248"/>
      <c r="BB10" s="248"/>
      <c r="BC10" s="248"/>
      <c r="BD10" s="248"/>
      <c r="BE10" s="248"/>
      <c r="BF10" s="248"/>
      <c r="BG10" s="247" t="s">
        <v>49</v>
      </c>
      <c r="BH10" s="248"/>
      <c r="BI10" s="249">
        <f t="shared" si="0"/>
        <v>3</v>
      </c>
    </row>
    <row r="11" spans="2:61" ht="15.75" customHeight="1">
      <c r="B11" s="215"/>
      <c r="C11" s="88">
        <v>1</v>
      </c>
      <c r="D11" s="59" t="s">
        <v>16</v>
      </c>
      <c r="E11" s="65" t="s">
        <v>17</v>
      </c>
      <c r="F11" s="60"/>
      <c r="G11" s="233" t="str">
        <f>IF(COUNTA(F$11:F$13)=0,"ç","")</f>
        <v>ç</v>
      </c>
      <c r="H11" s="234" t="str">
        <f>IF(G11="ç","Fill in","")</f>
        <v>Fill in</v>
      </c>
      <c r="I11" s="61">
        <f>IF(F13="","",IF(AND(F13="X",F17="X"),"B",IF(AND(F13="X",F14="X"),"D",IF(AND(F13="X",F15="X"),"E",IF(AND(F13="X",F16="X"),"F","")))))</f>
      </c>
      <c r="J11" s="57">
        <f>IF(I11="D",1,IF(I11="E",1,IF(I11="F",1,"")))</f>
      </c>
      <c r="K11" s="57">
        <f>SUM(J10:J11,K9:K10)</f>
        <v>0</v>
      </c>
      <c r="L11" s="207"/>
      <c r="M11" s="145"/>
      <c r="N11" s="219">
        <v>7</v>
      </c>
      <c r="O11" s="220" t="s">
        <v>57</v>
      </c>
      <c r="P11" s="104"/>
      <c r="Q11" s="104"/>
      <c r="R11" s="104"/>
      <c r="S11" s="237">
        <f ca="1" t="shared" si="1"/>
      </c>
      <c r="T11" s="237">
        <f t="shared" si="2"/>
      </c>
      <c r="U11" s="238">
        <f ca="1">IF(COUNTA($F$11:$F$26)=0,"",OFFSET(Detailed!$AC$10,MATCH(AH9,$AI$5:$AI$64,0),0))</f>
      </c>
      <c r="V11" s="216"/>
      <c r="AF11" s="243">
        <f ca="1">OFFSET(Detailed!$D$6,0,ROW()-10)</f>
      </c>
      <c r="AG11" s="54"/>
      <c r="AH11" s="244">
        <f t="shared" si="3"/>
        <v>7</v>
      </c>
      <c r="AI11" s="244">
        <f>RANK(Detailed!AC17,Detailed!$AC$11:$AC$70,0)</f>
        <v>7</v>
      </c>
      <c r="AK11" s="245" t="s">
        <v>0</v>
      </c>
      <c r="AL11" s="245" t="s">
        <v>6</v>
      </c>
      <c r="AM11" s="213"/>
      <c r="AT11" s="247" t="s">
        <v>49</v>
      </c>
      <c r="AU11" s="248"/>
      <c r="AV11" s="248"/>
      <c r="AW11" s="248"/>
      <c r="AX11" s="248"/>
      <c r="AY11" s="248"/>
      <c r="AZ11" s="248"/>
      <c r="BA11" s="247" t="s">
        <v>49</v>
      </c>
      <c r="BB11" s="248"/>
      <c r="BC11" s="247" t="s">
        <v>49</v>
      </c>
      <c r="BD11" s="248"/>
      <c r="BE11" s="247" t="s">
        <v>49</v>
      </c>
      <c r="BF11" s="248"/>
      <c r="BG11" s="248"/>
      <c r="BH11" s="248"/>
      <c r="BI11" s="249">
        <f t="shared" si="0"/>
        <v>4</v>
      </c>
    </row>
    <row r="12" spans="2:61" ht="15.75" customHeight="1">
      <c r="B12" s="215"/>
      <c r="C12" s="89"/>
      <c r="D12" s="80"/>
      <c r="E12" s="68" t="s">
        <v>18</v>
      </c>
      <c r="F12" s="62"/>
      <c r="G12" s="233" t="str">
        <f>IF(COUNTA(F$11:F$13)=0,"ç","")</f>
        <v>ç</v>
      </c>
      <c r="H12" s="234" t="str">
        <f aca="true" t="shared" si="4" ref="H12:H26">IF(G12="ç","Fill in","")</f>
        <v>Fill in</v>
      </c>
      <c r="I12" s="207"/>
      <c r="J12" s="207"/>
      <c r="K12" s="207"/>
      <c r="L12" s="207"/>
      <c r="M12" s="145"/>
      <c r="N12" s="219">
        <v>8</v>
      </c>
      <c r="O12" s="220" t="s">
        <v>58</v>
      </c>
      <c r="P12" s="104"/>
      <c r="Q12" s="104"/>
      <c r="R12" s="104"/>
      <c r="S12" s="237">
        <f ca="1" t="shared" si="1"/>
      </c>
      <c r="T12" s="237">
        <f t="shared" si="2"/>
      </c>
      <c r="U12" s="238">
        <f ca="1">IF(COUNTA($F$11:$F$26)=0,"",OFFSET(Detailed!$AC$10,MATCH(AH10,$AI$5:$AI$64,0),0))</f>
      </c>
      <c r="V12" s="216"/>
      <c r="AF12" s="243">
        <f ca="1">OFFSET(Detailed!$D$6,0,ROW()-10)</f>
      </c>
      <c r="AG12" s="54"/>
      <c r="AH12" s="244">
        <f t="shared" si="3"/>
        <v>8</v>
      </c>
      <c r="AI12" s="244">
        <f>RANK(Detailed!AC18,Detailed!$AC$11:$AC$70,0)</f>
        <v>8</v>
      </c>
      <c r="AK12" s="245" t="s">
        <v>2</v>
      </c>
      <c r="AL12" s="213"/>
      <c r="AM12" s="213"/>
      <c r="AT12" s="248"/>
      <c r="AU12" s="247" t="s">
        <v>49</v>
      </c>
      <c r="AV12" s="248"/>
      <c r="AW12" s="248"/>
      <c r="AX12" s="248"/>
      <c r="AY12" s="248"/>
      <c r="AZ12" s="248"/>
      <c r="BA12" s="247" t="s">
        <v>49</v>
      </c>
      <c r="BB12" s="248"/>
      <c r="BC12" s="247" t="s">
        <v>49</v>
      </c>
      <c r="BD12" s="248"/>
      <c r="BE12" s="248"/>
      <c r="BF12" s="247" t="s">
        <v>49</v>
      </c>
      <c r="BG12" s="248"/>
      <c r="BH12" s="248"/>
      <c r="BI12" s="249">
        <f t="shared" si="0"/>
        <v>4</v>
      </c>
    </row>
    <row r="13" spans="2:61" ht="15.75" customHeight="1" thickBot="1">
      <c r="B13" s="215"/>
      <c r="C13" s="90"/>
      <c r="D13" s="81"/>
      <c r="E13" s="72" t="s">
        <v>19</v>
      </c>
      <c r="F13" s="63"/>
      <c r="G13" s="233" t="str">
        <f>IF(COUNTA(F$11:F$13)=0,"ç","")</f>
        <v>ç</v>
      </c>
      <c r="H13" s="234" t="str">
        <f t="shared" si="4"/>
        <v>Fill in</v>
      </c>
      <c r="I13" s="207"/>
      <c r="J13" s="207"/>
      <c r="K13" s="207"/>
      <c r="L13" s="207"/>
      <c r="M13" s="145"/>
      <c r="N13" s="219">
        <v>9</v>
      </c>
      <c r="O13" s="220" t="s">
        <v>59</v>
      </c>
      <c r="P13" s="104"/>
      <c r="Q13" s="104"/>
      <c r="R13" s="104"/>
      <c r="S13" s="237">
        <f ca="1" t="shared" si="1"/>
      </c>
      <c r="T13" s="237">
        <f t="shared" si="2"/>
      </c>
      <c r="U13" s="238">
        <f ca="1">IF(COUNTA($F$11:$F$26)=0,"",OFFSET(Detailed!$AC$10,MATCH(AH11,$AI$5:$AI$64,0),0))</f>
      </c>
      <c r="V13" s="216"/>
      <c r="AF13" s="243">
        <f ca="1">OFFSET(Detailed!$D$6,0,ROW()-10)</f>
      </c>
      <c r="AG13" s="54"/>
      <c r="AH13" s="244">
        <f t="shared" si="3"/>
        <v>9</v>
      </c>
      <c r="AI13" s="244">
        <f>RANK(Detailed!AC19,Detailed!$AC$11:$AC$70,0)</f>
        <v>9</v>
      </c>
      <c r="AK13" s="245" t="s">
        <v>3</v>
      </c>
      <c r="AL13" s="245" t="s">
        <v>4</v>
      </c>
      <c r="AM13" s="245" t="s">
        <v>5</v>
      </c>
      <c r="AN13" s="104"/>
      <c r="AO13" s="104"/>
      <c r="AT13" s="248"/>
      <c r="AU13" s="247" t="s">
        <v>49</v>
      </c>
      <c r="AV13" s="248"/>
      <c r="AW13" s="248"/>
      <c r="AX13" s="248"/>
      <c r="AY13" s="248"/>
      <c r="AZ13" s="248"/>
      <c r="BA13" s="247" t="s">
        <v>49</v>
      </c>
      <c r="BB13" s="248"/>
      <c r="BC13" s="247" t="s">
        <v>49</v>
      </c>
      <c r="BD13" s="248"/>
      <c r="BE13" s="248"/>
      <c r="BF13" s="248"/>
      <c r="BG13" s="247" t="s">
        <v>49</v>
      </c>
      <c r="BH13" s="248"/>
      <c r="BI13" s="249">
        <f t="shared" si="0"/>
        <v>4</v>
      </c>
    </row>
    <row r="14" spans="2:61" ht="15.75" customHeight="1">
      <c r="B14" s="215"/>
      <c r="C14" s="92" t="s">
        <v>20</v>
      </c>
      <c r="D14" s="83" t="s">
        <v>21</v>
      </c>
      <c r="E14" s="84" t="s">
        <v>22</v>
      </c>
      <c r="F14" s="60"/>
      <c r="G14" s="233">
        <f>IF(COUNTA(F$14:F$16)&gt;=1,"",IF(F$13="x","ç",""))</f>
      </c>
      <c r="H14" s="234">
        <f t="shared" si="4"/>
      </c>
      <c r="I14" s="207"/>
      <c r="J14" s="207"/>
      <c r="K14" s="207"/>
      <c r="L14" s="207"/>
      <c r="M14" s="145"/>
      <c r="N14" s="219">
        <v>10</v>
      </c>
      <c r="O14" s="220" t="s">
        <v>60</v>
      </c>
      <c r="P14" s="104"/>
      <c r="Q14" s="104"/>
      <c r="R14" s="104"/>
      <c r="S14" s="237">
        <f ca="1" t="shared" si="1"/>
      </c>
      <c r="T14" s="237">
        <f t="shared" si="2"/>
      </c>
      <c r="U14" s="238">
        <f ca="1">IF(COUNTA($F$11:$F$26)=0,"",OFFSET(Detailed!$AC$10,MATCH(AH12,$AI$5:$AI$64,0),0))</f>
      </c>
      <c r="V14" s="216"/>
      <c r="AF14" s="243">
        <f ca="1">OFFSET(Detailed!$D$6,0,ROW()-10)</f>
      </c>
      <c r="AG14" s="54"/>
      <c r="AH14" s="244">
        <f t="shared" si="3"/>
        <v>10</v>
      </c>
      <c r="AI14" s="244">
        <f>RANK(Detailed!AC20,Detailed!$AC$11:$AC$70,0)</f>
        <v>10</v>
      </c>
      <c r="AK14" s="245" t="s">
        <v>3</v>
      </c>
      <c r="AL14" s="213"/>
      <c r="AM14" s="213"/>
      <c r="AO14" s="244">
        <f aca="true" t="shared" si="5" ref="AO14:AQ16">IF(MID($D$5,1,1)="B","",IF($F$13="x",C14,""))</f>
      </c>
      <c r="AP14" s="244">
        <f t="shared" si="5"/>
      </c>
      <c r="AQ14" s="244">
        <f t="shared" si="5"/>
      </c>
      <c r="AT14" s="247" t="s">
        <v>49</v>
      </c>
      <c r="AU14" s="248"/>
      <c r="AV14" s="248"/>
      <c r="AW14" s="248"/>
      <c r="AX14" s="248"/>
      <c r="AY14" s="248"/>
      <c r="AZ14" s="248"/>
      <c r="BA14" s="248"/>
      <c r="BB14" s="247" t="s">
        <v>49</v>
      </c>
      <c r="BC14" s="247" t="s">
        <v>49</v>
      </c>
      <c r="BD14" s="248"/>
      <c r="BE14" s="247" t="s">
        <v>49</v>
      </c>
      <c r="BF14" s="248"/>
      <c r="BG14" s="248"/>
      <c r="BH14" s="248"/>
      <c r="BI14" s="249">
        <f t="shared" si="0"/>
        <v>4</v>
      </c>
    </row>
    <row r="15" spans="2:61" ht="15.75" customHeight="1">
      <c r="B15" s="215"/>
      <c r="C15" s="203" t="s">
        <v>20</v>
      </c>
      <c r="D15" s="204" t="s">
        <v>23</v>
      </c>
      <c r="E15" s="85" t="s">
        <v>24</v>
      </c>
      <c r="F15" s="62"/>
      <c r="G15" s="233">
        <f>IF(COUNTA(F$14:F$16)&gt;=1,"",IF(F$13="x","ç",""))</f>
      </c>
      <c r="H15" s="234">
        <f t="shared" si="4"/>
      </c>
      <c r="I15" s="56">
        <f>IF(F17="","",IF(AND(I9="A",F17="X"),"x",IF(AND(I11="B",F17="X"),"x","")))</f>
      </c>
      <c r="J15" s="207"/>
      <c r="K15" s="207"/>
      <c r="L15" s="207"/>
      <c r="M15" s="145"/>
      <c r="N15" s="219">
        <v>11</v>
      </c>
      <c r="O15" s="220" t="s">
        <v>61</v>
      </c>
      <c r="P15" s="104"/>
      <c r="Q15" s="104"/>
      <c r="R15" s="104"/>
      <c r="S15" s="237">
        <f ca="1" t="shared" si="1"/>
      </c>
      <c r="T15" s="237">
        <f t="shared" si="2"/>
      </c>
      <c r="U15" s="238">
        <f ca="1">IF(COUNTA($F$11:$F$26)=0,"",OFFSET(Detailed!$AC$10,MATCH(AH13,$AI$5:$AI$64,0),0))</f>
      </c>
      <c r="V15" s="216"/>
      <c r="AF15" s="243">
        <f ca="1">OFFSET(Detailed!$D$6,0,ROW()-10)</f>
      </c>
      <c r="AG15" s="54"/>
      <c r="AH15" s="244">
        <f t="shared" si="3"/>
        <v>11</v>
      </c>
      <c r="AI15" s="244">
        <f>RANK(Detailed!AC21,Detailed!$AC$11:$AC$70,0)</f>
        <v>11</v>
      </c>
      <c r="AK15" s="245" t="s">
        <v>4</v>
      </c>
      <c r="AL15" s="213"/>
      <c r="AM15" s="213"/>
      <c r="AO15" s="244">
        <f t="shared" si="5"/>
      </c>
      <c r="AP15" s="244">
        <f t="shared" si="5"/>
      </c>
      <c r="AQ15" s="244">
        <f t="shared" si="5"/>
      </c>
      <c r="AT15" s="248"/>
      <c r="AU15" s="247" t="s">
        <v>49</v>
      </c>
      <c r="AV15" s="248"/>
      <c r="AW15" s="248"/>
      <c r="AX15" s="248"/>
      <c r="AY15" s="248"/>
      <c r="AZ15" s="248"/>
      <c r="BA15" s="248"/>
      <c r="BB15" s="247" t="s">
        <v>49</v>
      </c>
      <c r="BC15" s="247" t="s">
        <v>49</v>
      </c>
      <c r="BD15" s="248"/>
      <c r="BE15" s="248"/>
      <c r="BF15" s="247" t="s">
        <v>49</v>
      </c>
      <c r="BG15" s="248"/>
      <c r="BH15" s="248"/>
      <c r="BI15" s="249">
        <f t="shared" si="0"/>
        <v>4</v>
      </c>
    </row>
    <row r="16" spans="2:61" ht="15.75" customHeight="1" thickBot="1">
      <c r="B16" s="215"/>
      <c r="C16" s="205" t="s">
        <v>20</v>
      </c>
      <c r="D16" s="206" t="s">
        <v>23</v>
      </c>
      <c r="E16" s="86" t="s">
        <v>25</v>
      </c>
      <c r="F16" s="63"/>
      <c r="G16" s="233">
        <f>IF(COUNTA(F$14:F$16)&gt;=1,"",IF(F$13="x","ç",""))</f>
      </c>
      <c r="H16" s="234">
        <f t="shared" si="4"/>
      </c>
      <c r="I16" s="64">
        <f>IF(F18="","",IF(I$9="A","","r"))</f>
      </c>
      <c r="J16" s="207"/>
      <c r="K16" s="207"/>
      <c r="L16" s="207"/>
      <c r="M16" s="145"/>
      <c r="N16" s="219">
        <v>12</v>
      </c>
      <c r="O16" s="220" t="s">
        <v>62</v>
      </c>
      <c r="P16" s="104"/>
      <c r="Q16" s="104"/>
      <c r="R16" s="104"/>
      <c r="S16" s="237">
        <f ca="1" t="shared" si="1"/>
      </c>
      <c r="T16" s="237">
        <f t="shared" si="2"/>
      </c>
      <c r="U16" s="238">
        <f ca="1">IF(COUNTA($F$11:$F$26)=0,"",OFFSET(Detailed!$AC$10,MATCH(AH14,$AI$5:$AI$64,0),0))</f>
      </c>
      <c r="V16" s="216"/>
      <c r="AF16" s="243">
        <f ca="1">OFFSET(Detailed!$D$6,0,ROW()-10)</f>
      </c>
      <c r="AG16" s="54"/>
      <c r="AH16" s="244">
        <f t="shared" si="3"/>
        <v>12</v>
      </c>
      <c r="AI16" s="244">
        <f>RANK(Detailed!AC22,Detailed!$AC$11:$AC$70,0)</f>
        <v>12</v>
      </c>
      <c r="AK16" s="245" t="s">
        <v>5</v>
      </c>
      <c r="AL16" s="213"/>
      <c r="AM16" s="213"/>
      <c r="AO16" s="244">
        <f t="shared" si="5"/>
      </c>
      <c r="AP16" s="244">
        <f t="shared" si="5"/>
      </c>
      <c r="AQ16" s="244">
        <f t="shared" si="5"/>
      </c>
      <c r="AT16" s="248"/>
      <c r="AU16" s="247" t="s">
        <v>49</v>
      </c>
      <c r="AV16" s="248"/>
      <c r="AW16" s="248"/>
      <c r="AX16" s="248"/>
      <c r="AY16" s="248"/>
      <c r="AZ16" s="248"/>
      <c r="BA16" s="248"/>
      <c r="BB16" s="247" t="s">
        <v>49</v>
      </c>
      <c r="BC16" s="247" t="s">
        <v>49</v>
      </c>
      <c r="BD16" s="248"/>
      <c r="BE16" s="248"/>
      <c r="BF16" s="248"/>
      <c r="BG16" s="247" t="s">
        <v>49</v>
      </c>
      <c r="BH16" s="248"/>
      <c r="BI16" s="249">
        <f t="shared" si="0"/>
        <v>4</v>
      </c>
    </row>
    <row r="17" spans="2:61" ht="15.75" customHeight="1">
      <c r="B17" s="215"/>
      <c r="C17" s="88">
        <v>2</v>
      </c>
      <c r="D17" s="59" t="s">
        <v>26</v>
      </c>
      <c r="E17" s="65" t="s">
        <v>27</v>
      </c>
      <c r="F17" s="60"/>
      <c r="G17" s="233" t="str">
        <f>IF(OR(F12="x",F13="x"),"",IF(COUNTA(F$17:F$20)=0,"ç",""))</f>
        <v>ç</v>
      </c>
      <c r="H17" s="234" t="str">
        <f t="shared" si="4"/>
        <v>Fill in</v>
      </c>
      <c r="I17" s="64">
        <f>IF(F19="","",IF(F21="X",J17,IF(F22="X",K17,"")))</f>
      </c>
      <c r="J17" s="66">
        <f>IF($F19="","",IF(AND(F$19="X",F$21="X"),"a",""))</f>
      </c>
      <c r="K17" s="67">
        <f>IF($F19="","",IF(AND(F$19="X",F$22="X"),"k",""))</f>
      </c>
      <c r="L17" s="207"/>
      <c r="M17" s="145"/>
      <c r="N17" s="219">
        <v>13</v>
      </c>
      <c r="O17" s="220" t="s">
        <v>63</v>
      </c>
      <c r="P17" s="104"/>
      <c r="Q17" s="104"/>
      <c r="R17" s="104"/>
      <c r="S17" s="230"/>
      <c r="T17" s="230"/>
      <c r="U17" s="230"/>
      <c r="V17" s="216"/>
      <c r="AF17" s="243">
        <f ca="1">OFFSET(Detailed!$D$6,0,ROW()-10)</f>
      </c>
      <c r="AG17" s="54"/>
      <c r="AH17" s="244">
        <f t="shared" si="3"/>
        <v>13</v>
      </c>
      <c r="AI17" s="244">
        <f>RANK(Detailed!AC23,Detailed!$AC$11:$AC$70,0)</f>
        <v>13</v>
      </c>
      <c r="AK17" s="245" t="s">
        <v>7</v>
      </c>
      <c r="AL17" s="213"/>
      <c r="AM17" s="213"/>
      <c r="AT17" s="248"/>
      <c r="AU17" s="247" t="s">
        <v>49</v>
      </c>
      <c r="AV17" s="247" t="s">
        <v>49</v>
      </c>
      <c r="AW17" s="248"/>
      <c r="AX17" s="248"/>
      <c r="AY17" s="248"/>
      <c r="AZ17" s="247" t="s">
        <v>49</v>
      </c>
      <c r="BA17" s="248"/>
      <c r="BB17" s="248"/>
      <c r="BC17" s="248"/>
      <c r="BD17" s="248"/>
      <c r="BE17" s="248"/>
      <c r="BF17" s="247" t="s">
        <v>49</v>
      </c>
      <c r="BG17" s="248"/>
      <c r="BH17" s="248"/>
      <c r="BI17" s="249">
        <f t="shared" si="0"/>
        <v>4</v>
      </c>
    </row>
    <row r="18" spans="2:61" ht="15.75" customHeight="1">
      <c r="B18" s="215"/>
      <c r="C18" s="90"/>
      <c r="D18" s="82"/>
      <c r="E18" s="68" t="s">
        <v>28</v>
      </c>
      <c r="F18" s="62"/>
      <c r="G18" s="233" t="str">
        <f>IF(COUNTA(F$17:F$20)=0,"ç","")</f>
        <v>ç</v>
      </c>
      <c r="H18" s="234" t="str">
        <f t="shared" si="4"/>
        <v>Fill in</v>
      </c>
      <c r="I18" s="69">
        <f>IF(F20="","",IF(F21="X",J18,IF(F22="X",K18,"")))</f>
      </c>
      <c r="J18" s="70">
        <f>IF($F20="","",IF(AND(F$20="X",F$21="X"),"s",""))</f>
      </c>
      <c r="K18" s="71">
        <f>IF($F20="","",IF(AND(F$20="X",F$22="X"),"h",""))</f>
      </c>
      <c r="L18" s="207"/>
      <c r="M18" s="145"/>
      <c r="N18" s="219">
        <v>14</v>
      </c>
      <c r="O18" s="220" t="s">
        <v>64</v>
      </c>
      <c r="P18" s="104"/>
      <c r="Q18" s="104"/>
      <c r="R18" s="104"/>
      <c r="S18" s="207"/>
      <c r="T18" s="207"/>
      <c r="U18" s="207"/>
      <c r="V18" s="216"/>
      <c r="AF18" s="243">
        <f ca="1">OFFSET(Detailed!$D$6,0,ROW()-10)</f>
      </c>
      <c r="AG18" s="54"/>
      <c r="AH18" s="244">
        <f t="shared" si="3"/>
        <v>14</v>
      </c>
      <c r="AI18" s="244">
        <f>RANK(Detailed!AC24,Detailed!$AC$11:$AC$70,0)</f>
        <v>14</v>
      </c>
      <c r="AK18" s="245" t="s">
        <v>8</v>
      </c>
      <c r="AL18" s="213"/>
      <c r="AM18" s="213"/>
      <c r="AT18" s="248"/>
      <c r="AU18" s="247" t="s">
        <v>49</v>
      </c>
      <c r="AV18" s="248"/>
      <c r="AW18" s="247" t="s">
        <v>49</v>
      </c>
      <c r="AX18" s="248"/>
      <c r="AY18" s="248"/>
      <c r="AZ18" s="247" t="s">
        <v>49</v>
      </c>
      <c r="BA18" s="248"/>
      <c r="BB18" s="248"/>
      <c r="BC18" s="248"/>
      <c r="BD18" s="248"/>
      <c r="BE18" s="248"/>
      <c r="BF18" s="247" t="s">
        <v>49</v>
      </c>
      <c r="BG18" s="248"/>
      <c r="BH18" s="248"/>
      <c r="BI18" s="249">
        <f t="shared" si="0"/>
        <v>4</v>
      </c>
    </row>
    <row r="19" spans="2:61" ht="15.75" customHeight="1">
      <c r="B19" s="215"/>
      <c r="C19" s="90"/>
      <c r="D19" s="82"/>
      <c r="E19" s="68" t="s">
        <v>29</v>
      </c>
      <c r="F19" s="62"/>
      <c r="G19" s="233" t="str">
        <f>IF(COUNTA(F$17:F$20)=0,"ç","")</f>
        <v>ç</v>
      </c>
      <c r="H19" s="234" t="str">
        <f t="shared" si="4"/>
        <v>Fill in</v>
      </c>
      <c r="I19" s="207"/>
      <c r="J19" s="207"/>
      <c r="K19" s="207"/>
      <c r="L19" s="207"/>
      <c r="M19" s="145"/>
      <c r="N19" s="219">
        <v>15</v>
      </c>
      <c r="O19" s="220" t="s">
        <v>65</v>
      </c>
      <c r="P19" s="104"/>
      <c r="Q19" s="104"/>
      <c r="R19" s="104"/>
      <c r="S19" s="207"/>
      <c r="T19" s="207"/>
      <c r="U19" s="207"/>
      <c r="V19" s="216"/>
      <c r="AF19" s="243">
        <f ca="1">OFFSET(Detailed!$D$6,0,ROW()-10)</f>
      </c>
      <c r="AG19" s="54"/>
      <c r="AH19" s="244">
        <f t="shared" si="3"/>
        <v>15</v>
      </c>
      <c r="AI19" s="244">
        <f>RANK(Detailed!AC25,Detailed!$AC$11:$AC$70,0)</f>
        <v>15</v>
      </c>
      <c r="AK19" s="245" t="s">
        <v>9</v>
      </c>
      <c r="AL19" s="245" t="s">
        <v>11</v>
      </c>
      <c r="AM19" s="213"/>
      <c r="AT19" s="248"/>
      <c r="AU19" s="247" t="s">
        <v>49</v>
      </c>
      <c r="AV19" s="248"/>
      <c r="AW19" s="248"/>
      <c r="AX19" s="247" t="s">
        <v>49</v>
      </c>
      <c r="AY19" s="248"/>
      <c r="AZ19" s="247" t="s">
        <v>49</v>
      </c>
      <c r="BA19" s="248"/>
      <c r="BB19" s="248"/>
      <c r="BC19" s="248"/>
      <c r="BD19" s="248"/>
      <c r="BE19" s="248"/>
      <c r="BF19" s="247" t="s">
        <v>49</v>
      </c>
      <c r="BG19" s="248"/>
      <c r="BH19" s="248"/>
      <c r="BI19" s="249">
        <f t="shared" si="0"/>
        <v>4</v>
      </c>
    </row>
    <row r="20" spans="2:61" ht="15.75" customHeight="1" thickBot="1">
      <c r="B20" s="215"/>
      <c r="C20" s="90"/>
      <c r="D20" s="81"/>
      <c r="E20" s="72" t="s">
        <v>30</v>
      </c>
      <c r="F20" s="63"/>
      <c r="G20" s="233" t="str">
        <f>IF(COUNTA(F$17:F$20)=0,"ç","")</f>
        <v>ç</v>
      </c>
      <c r="H20" s="234" t="str">
        <f t="shared" si="4"/>
        <v>Fill in</v>
      </c>
      <c r="I20" s="207"/>
      <c r="J20" s="207"/>
      <c r="K20" s="207"/>
      <c r="L20" s="207"/>
      <c r="M20" s="145"/>
      <c r="N20" s="219">
        <v>16</v>
      </c>
      <c r="O20" s="220" t="s">
        <v>66</v>
      </c>
      <c r="P20" s="104"/>
      <c r="Q20" s="104"/>
      <c r="R20" s="104"/>
      <c r="S20" s="270" t="s">
        <v>131</v>
      </c>
      <c r="T20" s="270"/>
      <c r="U20" s="270"/>
      <c r="V20" s="216"/>
      <c r="AF20" s="243">
        <f ca="1">OFFSET(Detailed!$D$6,0,ROW()-10)</f>
      </c>
      <c r="AG20" s="54"/>
      <c r="AH20" s="244">
        <f t="shared" si="3"/>
        <v>16</v>
      </c>
      <c r="AI20" s="244">
        <f>RANK(Detailed!AC26,Detailed!$AC$11:$AC$70,0)</f>
        <v>16</v>
      </c>
      <c r="AK20" s="245" t="s">
        <v>10</v>
      </c>
      <c r="AL20" s="245" t="s">
        <v>12</v>
      </c>
      <c r="AM20" s="213"/>
      <c r="AT20" s="248"/>
      <c r="AU20" s="247" t="s">
        <v>49</v>
      </c>
      <c r="AV20" s="247" t="s">
        <v>49</v>
      </c>
      <c r="AW20" s="248"/>
      <c r="AX20" s="248"/>
      <c r="AY20" s="248"/>
      <c r="AZ20" s="247" t="s">
        <v>49</v>
      </c>
      <c r="BA20" s="248"/>
      <c r="BB20" s="248"/>
      <c r="BC20" s="248"/>
      <c r="BD20" s="248"/>
      <c r="BE20" s="248"/>
      <c r="BF20" s="248"/>
      <c r="BG20" s="247" t="s">
        <v>49</v>
      </c>
      <c r="BH20" s="248"/>
      <c r="BI20" s="249">
        <f t="shared" si="0"/>
        <v>4</v>
      </c>
    </row>
    <row r="21" spans="2:61" ht="15.75" customHeight="1">
      <c r="B21" s="215"/>
      <c r="C21" s="92" t="s">
        <v>31</v>
      </c>
      <c r="D21" s="83" t="s">
        <v>32</v>
      </c>
      <c r="E21" s="84" t="s">
        <v>33</v>
      </c>
      <c r="F21" s="60"/>
      <c r="G21" s="233">
        <f>IF(COUNTA(F$21:F$22)&gt;=1,"",IF(COUNTA(F$19:F$20)&gt;=1,"ç",""))</f>
      </c>
      <c r="H21" s="234">
        <f t="shared" si="4"/>
      </c>
      <c r="I21" s="56">
        <f>IF(F23="","",IF(OR(F$12="X",F$13="X"),"","x"))</f>
      </c>
      <c r="J21" s="207"/>
      <c r="K21" s="207"/>
      <c r="L21" s="207"/>
      <c r="M21" s="145"/>
      <c r="N21" s="219">
        <v>17</v>
      </c>
      <c r="O21" s="220" t="s">
        <v>67</v>
      </c>
      <c r="P21" s="104"/>
      <c r="Q21" s="104"/>
      <c r="R21" s="104"/>
      <c r="S21" s="239">
        <f>IF(COUNTA(F$11:F$16)&gt;=1,MID($S$7,1,1),"")</f>
      </c>
      <c r="T21" s="239">
        <f>IF(COUNTA(G$17:G$22)&gt;=1,MID($S$7,2,1),"")</f>
      </c>
      <c r="U21" s="239">
        <f>IF(COUNTA(AF$23:AF$26)&gt;=1,MID($S$7,3,1),"")</f>
      </c>
      <c r="V21" s="216"/>
      <c r="AF21" s="243">
        <f ca="1">OFFSET(Detailed!$D$6,0,ROW()-10)</f>
      </c>
      <c r="AG21" s="54"/>
      <c r="AH21" s="244">
        <f t="shared" si="3"/>
        <v>17</v>
      </c>
      <c r="AI21" s="244">
        <f>RANK(Detailed!AC27,Detailed!$AC$11:$AC$70,0)</f>
        <v>17</v>
      </c>
      <c r="AK21" s="245" t="s">
        <v>9</v>
      </c>
      <c r="AL21" s="245" t="s">
        <v>11</v>
      </c>
      <c r="AM21" s="213"/>
      <c r="AO21" s="244">
        <f aca="true" t="shared" si="6" ref="AO21:AQ22">IF(OR($F$19="x",$F$20="x"),C21,"")</f>
      </c>
      <c r="AP21" s="244">
        <f t="shared" si="6"/>
      </c>
      <c r="AQ21" s="244">
        <f t="shared" si="6"/>
      </c>
      <c r="AT21" s="248"/>
      <c r="AU21" s="247" t="s">
        <v>49</v>
      </c>
      <c r="AV21" s="248"/>
      <c r="AW21" s="247" t="s">
        <v>49</v>
      </c>
      <c r="AX21" s="248"/>
      <c r="AY21" s="248"/>
      <c r="AZ21" s="247" t="s">
        <v>49</v>
      </c>
      <c r="BA21" s="248"/>
      <c r="BB21" s="248"/>
      <c r="BC21" s="248"/>
      <c r="BD21" s="248"/>
      <c r="BE21" s="248"/>
      <c r="BF21" s="248"/>
      <c r="BG21" s="247" t="s">
        <v>49</v>
      </c>
      <c r="BH21" s="248"/>
      <c r="BI21" s="249">
        <f t="shared" si="0"/>
        <v>4</v>
      </c>
    </row>
    <row r="22" spans="2:61" ht="15.75" customHeight="1" thickBot="1">
      <c r="B22" s="215"/>
      <c r="C22" s="202" t="s">
        <v>31</v>
      </c>
      <c r="D22" s="87" t="s">
        <v>34</v>
      </c>
      <c r="E22" s="86" t="s">
        <v>35</v>
      </c>
      <c r="F22" s="63"/>
      <c r="G22" s="233">
        <f>IF(COUNTA(F$21:F$22)&gt;=1,"",IF(COUNTA(F$19:F$20)&gt;=1,"ç",""))</f>
      </c>
      <c r="H22" s="234">
        <f t="shared" si="4"/>
      </c>
      <c r="I22" s="64">
        <f>IF(F24="","",IF(F$11="X","","o"))</f>
      </c>
      <c r="J22" s="207"/>
      <c r="K22" s="207"/>
      <c r="L22" s="207"/>
      <c r="M22" s="145"/>
      <c r="N22" s="219">
        <v>18</v>
      </c>
      <c r="O22" s="220" t="s">
        <v>68</v>
      </c>
      <c r="P22" s="104"/>
      <c r="Q22" s="104"/>
      <c r="R22" s="104"/>
      <c r="S22" s="271">
        <f>CONCATENATE(S21,T21,U21)</f>
      </c>
      <c r="T22" s="272"/>
      <c r="U22" s="273"/>
      <c r="V22" s="216"/>
      <c r="AF22" s="243">
        <f ca="1">OFFSET(Detailed!$D$6,0,ROW()-10)</f>
      </c>
      <c r="AG22" s="54"/>
      <c r="AH22" s="244">
        <f t="shared" si="3"/>
        <v>18</v>
      </c>
      <c r="AI22" s="244">
        <f>RANK(Detailed!AC28,Detailed!$AC$11:$AC$70,0)</f>
        <v>18</v>
      </c>
      <c r="AK22" s="245" t="s">
        <v>10</v>
      </c>
      <c r="AL22" s="245" t="s">
        <v>12</v>
      </c>
      <c r="AM22" s="213"/>
      <c r="AO22" s="244">
        <f t="shared" si="6"/>
      </c>
      <c r="AP22" s="244">
        <f t="shared" si="6"/>
      </c>
      <c r="AQ22" s="244">
        <f t="shared" si="6"/>
      </c>
      <c r="AT22" s="248"/>
      <c r="AU22" s="247" t="s">
        <v>49</v>
      </c>
      <c r="AV22" s="248"/>
      <c r="AW22" s="248"/>
      <c r="AX22" s="247" t="s">
        <v>49</v>
      </c>
      <c r="AY22" s="248"/>
      <c r="AZ22" s="247" t="s">
        <v>49</v>
      </c>
      <c r="BA22" s="248"/>
      <c r="BB22" s="248"/>
      <c r="BC22" s="248"/>
      <c r="BD22" s="248"/>
      <c r="BE22" s="248"/>
      <c r="BF22" s="248"/>
      <c r="BG22" s="247" t="s">
        <v>49</v>
      </c>
      <c r="BH22" s="248"/>
      <c r="BI22" s="249">
        <f t="shared" si="0"/>
        <v>4</v>
      </c>
    </row>
    <row r="23" spans="2:61" ht="15.75" customHeight="1">
      <c r="B23" s="215"/>
      <c r="C23" s="88">
        <v>3</v>
      </c>
      <c r="D23" s="59" t="s">
        <v>36</v>
      </c>
      <c r="E23" s="65" t="s">
        <v>37</v>
      </c>
      <c r="F23" s="60"/>
      <c r="G23" s="233" t="str">
        <f>IF(F12="x","",IF(F13="x","",IF(F18="x","",IF(COUNTA(F$23:F$26)=0,"ç",""))))</f>
        <v>ç</v>
      </c>
      <c r="H23" s="234" t="str">
        <f t="shared" si="4"/>
        <v>Fill in</v>
      </c>
      <c r="I23" s="64">
        <f>IF(F25="","",IF(F$11="X","","i"))</f>
      </c>
      <c r="J23" s="207"/>
      <c r="K23" s="207"/>
      <c r="L23" s="207"/>
      <c r="M23" s="145"/>
      <c r="N23" s="219">
        <v>19</v>
      </c>
      <c r="O23" s="220" t="s">
        <v>69</v>
      </c>
      <c r="P23" s="104"/>
      <c r="Q23" s="104"/>
      <c r="R23" s="104"/>
      <c r="S23" s="274">
        <f>IF(ISERROR(CONCATENATE("CV = ",MATCH(S22,O5:O64,0))),"",CONCATENATE("CV = ",MATCH(S22,O5:O64,0)))</f>
      </c>
      <c r="T23" s="275"/>
      <c r="U23" s="276"/>
      <c r="V23" s="216"/>
      <c r="AF23" s="243">
        <f ca="1">OFFSET(Detailed!$D$6,0,ROW()-10)</f>
      </c>
      <c r="AG23" s="54"/>
      <c r="AH23" s="244">
        <f t="shared" si="3"/>
        <v>19</v>
      </c>
      <c r="AI23" s="244">
        <f>RANK(Detailed!AC29,Detailed!$AC$11:$AC$70,0)</f>
        <v>19</v>
      </c>
      <c r="AK23" s="245" t="s">
        <v>7</v>
      </c>
      <c r="AL23" s="213"/>
      <c r="AM23" s="213"/>
      <c r="AT23" s="248"/>
      <c r="AU23" s="247" t="s">
        <v>49</v>
      </c>
      <c r="AV23" s="247" t="s">
        <v>49</v>
      </c>
      <c r="AW23" s="248"/>
      <c r="AX23" s="248"/>
      <c r="AY23" s="248"/>
      <c r="AZ23" s="248"/>
      <c r="BA23" s="247" t="s">
        <v>49</v>
      </c>
      <c r="BB23" s="248"/>
      <c r="BC23" s="247" t="s">
        <v>49</v>
      </c>
      <c r="BD23" s="248"/>
      <c r="BE23" s="248"/>
      <c r="BF23" s="247" t="s">
        <v>49</v>
      </c>
      <c r="BG23" s="248"/>
      <c r="BH23" s="248"/>
      <c r="BI23" s="249">
        <f t="shared" si="0"/>
        <v>5</v>
      </c>
    </row>
    <row r="24" spans="2:61" ht="15.75" customHeight="1">
      <c r="B24" s="215"/>
      <c r="C24" s="90"/>
      <c r="D24" s="82"/>
      <c r="E24" s="68" t="s">
        <v>38</v>
      </c>
      <c r="F24" s="62"/>
      <c r="G24" s="233" t="str">
        <f>IF(F$11="x","",IF(COUNTA(F$23:F$26)=0,"ç",""))</f>
        <v>ç</v>
      </c>
      <c r="H24" s="234" t="str">
        <f t="shared" si="4"/>
        <v>Fill in</v>
      </c>
      <c r="I24" s="69">
        <f>IF(F26="","",IF(F$11="X","",IF(I11="B","","c")))</f>
      </c>
      <c r="J24" s="207"/>
      <c r="K24" s="207"/>
      <c r="L24" s="207"/>
      <c r="M24" s="145"/>
      <c r="N24" s="219">
        <v>20</v>
      </c>
      <c r="O24" s="220" t="s">
        <v>70</v>
      </c>
      <c r="P24" s="104"/>
      <c r="Q24" s="104"/>
      <c r="R24" s="104"/>
      <c r="S24" s="104"/>
      <c r="T24" s="104"/>
      <c r="U24" s="185"/>
      <c r="V24" s="216"/>
      <c r="AF24" s="243">
        <f ca="1">OFFSET(Detailed!$D$6,0,ROW()-10)</f>
      </c>
      <c r="AG24" s="54"/>
      <c r="AH24" s="244">
        <f t="shared" si="3"/>
        <v>20</v>
      </c>
      <c r="AI24" s="244">
        <f>RANK(Detailed!AC30,Detailed!$AC$11:$AC$70,0)</f>
        <v>20</v>
      </c>
      <c r="AK24" s="245" t="s">
        <v>13</v>
      </c>
      <c r="AL24" s="213"/>
      <c r="AM24" s="213"/>
      <c r="AT24" s="248"/>
      <c r="AU24" s="247" t="s">
        <v>49</v>
      </c>
      <c r="AV24" s="248"/>
      <c r="AW24" s="247" t="s">
        <v>49</v>
      </c>
      <c r="AX24" s="248"/>
      <c r="AY24" s="248"/>
      <c r="AZ24" s="248"/>
      <c r="BA24" s="247" t="s">
        <v>49</v>
      </c>
      <c r="BB24" s="248"/>
      <c r="BC24" s="247" t="s">
        <v>49</v>
      </c>
      <c r="BD24" s="248"/>
      <c r="BE24" s="248"/>
      <c r="BF24" s="247" t="s">
        <v>49</v>
      </c>
      <c r="BG24" s="248"/>
      <c r="BH24" s="248"/>
      <c r="BI24" s="249">
        <f t="shared" si="0"/>
        <v>5</v>
      </c>
    </row>
    <row r="25" spans="2:61" ht="15.75" customHeight="1">
      <c r="B25" s="215"/>
      <c r="C25" s="90"/>
      <c r="D25" s="82"/>
      <c r="E25" s="68" t="s">
        <v>39</v>
      </c>
      <c r="F25" s="62"/>
      <c r="G25" s="233" t="str">
        <f>IF(F$11="x","",IF(COUNTA(F$23:F$26)=0,"ç",""))</f>
        <v>ç</v>
      </c>
      <c r="H25" s="234" t="str">
        <f t="shared" si="4"/>
        <v>Fill in</v>
      </c>
      <c r="I25" s="207"/>
      <c r="J25" s="207"/>
      <c r="K25" s="207"/>
      <c r="L25" s="207"/>
      <c r="M25" s="145"/>
      <c r="N25" s="219">
        <v>21</v>
      </c>
      <c r="O25" s="220" t="s">
        <v>71</v>
      </c>
      <c r="P25" s="104"/>
      <c r="Q25" s="104"/>
      <c r="R25" s="104"/>
      <c r="S25" s="104"/>
      <c r="T25" s="104"/>
      <c r="U25" s="104"/>
      <c r="V25" s="216"/>
      <c r="AF25" s="243">
        <f ca="1">OFFSET(Detailed!$D$6,0,ROW()-10)</f>
      </c>
      <c r="AG25" s="54"/>
      <c r="AH25" s="244">
        <f t="shared" si="3"/>
        <v>21</v>
      </c>
      <c r="AI25" s="244">
        <f>RANK(Detailed!AC31,Detailed!$AC$11:$AC$70,0)</f>
        <v>21</v>
      </c>
      <c r="AK25" s="245" t="s">
        <v>14</v>
      </c>
      <c r="AL25" s="213"/>
      <c r="AM25" s="213"/>
      <c r="AT25" s="248"/>
      <c r="AU25" s="247" t="s">
        <v>49</v>
      </c>
      <c r="AV25" s="248"/>
      <c r="AW25" s="248"/>
      <c r="AX25" s="247" t="s">
        <v>49</v>
      </c>
      <c r="AY25" s="248"/>
      <c r="AZ25" s="248"/>
      <c r="BA25" s="247" t="s">
        <v>49</v>
      </c>
      <c r="BB25" s="248"/>
      <c r="BC25" s="247" t="s">
        <v>49</v>
      </c>
      <c r="BD25" s="248"/>
      <c r="BE25" s="248"/>
      <c r="BF25" s="247" t="s">
        <v>49</v>
      </c>
      <c r="BG25" s="248"/>
      <c r="BH25" s="248"/>
      <c r="BI25" s="249">
        <f t="shared" si="0"/>
        <v>5</v>
      </c>
    </row>
    <row r="26" spans="2:61" ht="15.75" customHeight="1" thickBot="1">
      <c r="B26" s="215"/>
      <c r="C26" s="91"/>
      <c r="D26" s="81"/>
      <c r="E26" s="72" t="s">
        <v>40</v>
      </c>
      <c r="F26" s="63"/>
      <c r="G26" s="233" t="str">
        <f>IF(F$11="x","",IF(F$12="x","",IF(F$18="x","",IF(COUNTA(F$23:F$26)=0,"ç",""))))</f>
        <v>ç</v>
      </c>
      <c r="H26" s="234" t="str">
        <f t="shared" si="4"/>
        <v>Fill in</v>
      </c>
      <c r="I26" s="73">
        <f>LEN(CONCATENATE(I9,I10,I11,I15,I16,I17,I18,I21,I22,I23,I24))</f>
        <v>0</v>
      </c>
      <c r="J26" s="207"/>
      <c r="K26" s="207"/>
      <c r="L26" s="207"/>
      <c r="M26" s="145"/>
      <c r="N26" s="219">
        <v>22</v>
      </c>
      <c r="O26" s="220" t="s">
        <v>72</v>
      </c>
      <c r="P26" s="104"/>
      <c r="Q26" s="104"/>
      <c r="R26" s="104"/>
      <c r="S26" s="104"/>
      <c r="T26" s="104"/>
      <c r="U26" s="104"/>
      <c r="V26" s="216"/>
      <c r="AF26" s="243">
        <f ca="1">OFFSET(Detailed!$D$6,0,ROW()-10)</f>
      </c>
      <c r="AG26" s="54"/>
      <c r="AH26" s="244">
        <f t="shared" si="3"/>
        <v>22</v>
      </c>
      <c r="AI26" s="244">
        <f>RANK(Detailed!AC32,Detailed!$AC$11:$AC$70,0)</f>
        <v>22</v>
      </c>
      <c r="AK26" s="245" t="s">
        <v>15</v>
      </c>
      <c r="AL26" s="213"/>
      <c r="AM26" s="213"/>
      <c r="AT26" s="248"/>
      <c r="AU26" s="247" t="s">
        <v>49</v>
      </c>
      <c r="AV26" s="247" t="s">
        <v>49</v>
      </c>
      <c r="AW26" s="248"/>
      <c r="AX26" s="248"/>
      <c r="AY26" s="248"/>
      <c r="AZ26" s="248"/>
      <c r="BA26" s="247" t="s">
        <v>49</v>
      </c>
      <c r="BB26" s="248"/>
      <c r="BC26" s="247" t="s">
        <v>49</v>
      </c>
      <c r="BD26" s="248"/>
      <c r="BE26" s="248"/>
      <c r="BF26" s="248"/>
      <c r="BG26" s="247" t="s">
        <v>49</v>
      </c>
      <c r="BH26" s="248"/>
      <c r="BI26" s="249">
        <f t="shared" si="0"/>
        <v>5</v>
      </c>
    </row>
    <row r="27" spans="2:61" ht="15.75" customHeight="1" thickBot="1">
      <c r="B27" s="215"/>
      <c r="C27" s="225"/>
      <c r="D27" s="207"/>
      <c r="E27" s="207"/>
      <c r="F27" s="207"/>
      <c r="G27" s="207"/>
      <c r="H27" s="207"/>
      <c r="I27" s="210" t="s">
        <v>73</v>
      </c>
      <c r="J27" s="207"/>
      <c r="K27" s="207"/>
      <c r="L27" s="207"/>
      <c r="M27" s="145"/>
      <c r="N27" s="219">
        <v>23</v>
      </c>
      <c r="O27" s="220" t="s">
        <v>74</v>
      </c>
      <c r="P27" s="104"/>
      <c r="Q27" s="104"/>
      <c r="R27" s="104"/>
      <c r="S27" s="104"/>
      <c r="T27" s="104"/>
      <c r="U27" s="104"/>
      <c r="V27" s="216"/>
      <c r="AF27" s="54"/>
      <c r="AG27" s="54"/>
      <c r="AH27" s="244">
        <f t="shared" si="3"/>
        <v>23</v>
      </c>
      <c r="AI27" s="244">
        <f>RANK(Detailed!AC33,Detailed!$AC$11:$AC$70,0)</f>
        <v>23</v>
      </c>
      <c r="AT27" s="248"/>
      <c r="AU27" s="247" t="s">
        <v>49</v>
      </c>
      <c r="AV27" s="248"/>
      <c r="AW27" s="247" t="s">
        <v>49</v>
      </c>
      <c r="AX27" s="248"/>
      <c r="AY27" s="248"/>
      <c r="AZ27" s="248"/>
      <c r="BA27" s="247" t="s">
        <v>49</v>
      </c>
      <c r="BB27" s="248"/>
      <c r="BC27" s="247" t="s">
        <v>49</v>
      </c>
      <c r="BD27" s="248"/>
      <c r="BE27" s="248"/>
      <c r="BF27" s="248"/>
      <c r="BG27" s="247" t="s">
        <v>49</v>
      </c>
      <c r="BH27" s="248"/>
      <c r="BI27" s="249">
        <f t="shared" si="0"/>
        <v>5</v>
      </c>
    </row>
    <row r="28" spans="2:61" ht="15.75" customHeight="1" thickBot="1" thickTop="1">
      <c r="B28" s="215"/>
      <c r="C28" s="207"/>
      <c r="D28" s="286">
        <f>IF(ISERROR(Detailed!V5),"",Detailed!V5)</f>
      </c>
      <c r="E28" s="287"/>
      <c r="F28" s="207"/>
      <c r="G28" s="265" t="str">
        <f>CONCATENATE("Number of crosses: ",COUNTA(F11:F26))</f>
        <v>Number of crosses: 0</v>
      </c>
      <c r="H28" s="265"/>
      <c r="I28" s="74">
        <f>UPPER(CONCATENATE(I9,I10,I11,I15,I16,I17,I18,I21,I22,I23,I24))</f>
      </c>
      <c r="J28" s="75">
        <f>COUNTIF(F11:F26,"X")</f>
        <v>0</v>
      </c>
      <c r="K28" s="207"/>
      <c r="L28" s="207"/>
      <c r="M28" s="145"/>
      <c r="N28" s="219">
        <v>24</v>
      </c>
      <c r="O28" s="220" t="s">
        <v>75</v>
      </c>
      <c r="P28" s="104"/>
      <c r="Q28" s="104"/>
      <c r="R28" s="104"/>
      <c r="S28" s="104"/>
      <c r="T28" s="104"/>
      <c r="U28" s="104"/>
      <c r="V28" s="216"/>
      <c r="AF28" s="54"/>
      <c r="AG28" s="54"/>
      <c r="AH28" s="244">
        <f t="shared" si="3"/>
        <v>24</v>
      </c>
      <c r="AI28" s="244">
        <f>RANK(Detailed!AC34,Detailed!$AC$11:$AC$70,0)</f>
        <v>24</v>
      </c>
      <c r="AT28" s="248"/>
      <c r="AU28" s="247" t="s">
        <v>49</v>
      </c>
      <c r="AV28" s="248"/>
      <c r="AW28" s="248"/>
      <c r="AX28" s="247" t="s">
        <v>49</v>
      </c>
      <c r="AY28" s="248"/>
      <c r="AZ28" s="248"/>
      <c r="BA28" s="247" t="s">
        <v>49</v>
      </c>
      <c r="BB28" s="248"/>
      <c r="BC28" s="247" t="s">
        <v>49</v>
      </c>
      <c r="BD28" s="248"/>
      <c r="BE28" s="248"/>
      <c r="BF28" s="248"/>
      <c r="BG28" s="247" t="s">
        <v>49</v>
      </c>
      <c r="BH28" s="248"/>
      <c r="BI28" s="249">
        <f t="shared" si="0"/>
        <v>5</v>
      </c>
    </row>
    <row r="29" spans="2:61" ht="15.75" customHeight="1" thickTop="1">
      <c r="B29" s="215"/>
      <c r="C29" s="207"/>
      <c r="D29" s="285" t="s">
        <v>76</v>
      </c>
      <c r="E29" s="285"/>
      <c r="F29" s="207"/>
      <c r="G29" s="207"/>
      <c r="H29" s="207"/>
      <c r="I29" s="210" t="s">
        <v>77</v>
      </c>
      <c r="J29" s="210" t="s">
        <v>49</v>
      </c>
      <c r="K29" s="207"/>
      <c r="L29" s="207"/>
      <c r="M29" s="145"/>
      <c r="N29" s="219">
        <v>25</v>
      </c>
      <c r="O29" s="220" t="s">
        <v>78</v>
      </c>
      <c r="P29" s="104"/>
      <c r="Q29" s="104"/>
      <c r="R29" s="104"/>
      <c r="S29" s="104"/>
      <c r="T29" s="104"/>
      <c r="U29" s="104"/>
      <c r="V29" s="216"/>
      <c r="AF29" s="54"/>
      <c r="AG29" s="54"/>
      <c r="AH29" s="244">
        <f t="shared" si="3"/>
        <v>25</v>
      </c>
      <c r="AI29" s="244">
        <f>RANK(Detailed!AC35,Detailed!$AC$11:$AC$70,0)</f>
        <v>25</v>
      </c>
      <c r="AT29" s="248"/>
      <c r="AU29" s="247" t="s">
        <v>49</v>
      </c>
      <c r="AV29" s="247" t="s">
        <v>49</v>
      </c>
      <c r="AW29" s="248"/>
      <c r="AX29" s="248"/>
      <c r="AY29" s="248"/>
      <c r="AZ29" s="248"/>
      <c r="BA29" s="248"/>
      <c r="BB29" s="247" t="s">
        <v>49</v>
      </c>
      <c r="BC29" s="247" t="s">
        <v>49</v>
      </c>
      <c r="BD29" s="248"/>
      <c r="BE29" s="248"/>
      <c r="BF29" s="247" t="s">
        <v>49</v>
      </c>
      <c r="BG29" s="248"/>
      <c r="BH29" s="248"/>
      <c r="BI29" s="249">
        <f t="shared" si="0"/>
        <v>5</v>
      </c>
    </row>
    <row r="30" spans="2:61" ht="15.75" customHeight="1">
      <c r="B30" s="215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145"/>
      <c r="N30" s="219">
        <v>26</v>
      </c>
      <c r="O30" s="220" t="s">
        <v>79</v>
      </c>
      <c r="P30" s="104"/>
      <c r="Q30" s="104"/>
      <c r="R30" s="104"/>
      <c r="S30" s="104"/>
      <c r="T30" s="104"/>
      <c r="U30" s="104"/>
      <c r="V30" s="216"/>
      <c r="AF30" s="54"/>
      <c r="AG30" s="54"/>
      <c r="AH30" s="244">
        <f t="shared" si="3"/>
        <v>26</v>
      </c>
      <c r="AI30" s="244">
        <f>RANK(Detailed!AC36,Detailed!$AC$11:$AC$70,0)</f>
        <v>26</v>
      </c>
      <c r="AT30" s="248"/>
      <c r="AU30" s="247" t="s">
        <v>49</v>
      </c>
      <c r="AV30" s="248"/>
      <c r="AW30" s="247" t="s">
        <v>49</v>
      </c>
      <c r="AX30" s="248"/>
      <c r="AY30" s="248"/>
      <c r="AZ30" s="248"/>
      <c r="BA30" s="248"/>
      <c r="BB30" s="247" t="s">
        <v>49</v>
      </c>
      <c r="BC30" s="247" t="s">
        <v>49</v>
      </c>
      <c r="BD30" s="248"/>
      <c r="BE30" s="248"/>
      <c r="BF30" s="247" t="s">
        <v>49</v>
      </c>
      <c r="BG30" s="248"/>
      <c r="BH30" s="248"/>
      <c r="BI30" s="249">
        <f t="shared" si="0"/>
        <v>5</v>
      </c>
    </row>
    <row r="31" spans="2:61" ht="15.75" customHeight="1">
      <c r="B31" s="215"/>
      <c r="C31" s="207"/>
      <c r="D31" s="240">
        <f>IF(D28="CORRECT CLASSIFICATION","You may now go to &gt;&gt;&gt;","")</f>
      </c>
      <c r="E31" s="282">
        <f>IF(D28="CORRECT CLASSIFICATION","Monthly Input Form","")</f>
      </c>
      <c r="F31" s="282"/>
      <c r="G31" s="283"/>
      <c r="H31" s="207"/>
      <c r="I31" s="207"/>
      <c r="J31" s="207"/>
      <c r="K31" s="207"/>
      <c r="L31" s="207"/>
      <c r="M31" s="145"/>
      <c r="N31" s="219">
        <v>27</v>
      </c>
      <c r="O31" s="220" t="s">
        <v>80</v>
      </c>
      <c r="P31" s="104"/>
      <c r="Q31" s="104"/>
      <c r="R31" s="104"/>
      <c r="S31" s="104"/>
      <c r="T31" s="104"/>
      <c r="U31" s="104"/>
      <c r="V31" s="216"/>
      <c r="AF31" s="54"/>
      <c r="AG31" s="54"/>
      <c r="AH31" s="244">
        <f t="shared" si="3"/>
        <v>27</v>
      </c>
      <c r="AI31" s="244">
        <f>RANK(Detailed!AC37,Detailed!$AC$11:$AC$70,0)</f>
        <v>27</v>
      </c>
      <c r="AT31" s="248"/>
      <c r="AU31" s="247" t="s">
        <v>49</v>
      </c>
      <c r="AV31" s="248"/>
      <c r="AW31" s="248"/>
      <c r="AX31" s="247" t="s">
        <v>49</v>
      </c>
      <c r="AY31" s="248"/>
      <c r="AZ31" s="248"/>
      <c r="BA31" s="248"/>
      <c r="BB31" s="247" t="s">
        <v>49</v>
      </c>
      <c r="BC31" s="247" t="s">
        <v>49</v>
      </c>
      <c r="BD31" s="248"/>
      <c r="BE31" s="248"/>
      <c r="BF31" s="247" t="s">
        <v>49</v>
      </c>
      <c r="BG31" s="248"/>
      <c r="BH31" s="248"/>
      <c r="BI31" s="249">
        <f t="shared" si="0"/>
        <v>5</v>
      </c>
    </row>
    <row r="32" spans="2:61" ht="15.75" customHeight="1">
      <c r="B32" s="215"/>
      <c r="C32" s="207"/>
      <c r="D32" s="241">
        <f ca="1">IF(ISERROR(MATCH("error",AF11:AF26,0)),"",IF(OFFSET(AF10,MATCH("error",AF11:AF26,0),0)="error","Error or crosses are missing or too many"))</f>
      </c>
      <c r="E32" s="15"/>
      <c r="F32" s="242"/>
      <c r="G32" s="242"/>
      <c r="H32" s="207"/>
      <c r="I32" s="207"/>
      <c r="J32" s="207"/>
      <c r="K32" s="207"/>
      <c r="L32" s="207"/>
      <c r="M32" s="145"/>
      <c r="N32" s="219">
        <v>28</v>
      </c>
      <c r="O32" s="220" t="s">
        <v>81</v>
      </c>
      <c r="P32" s="104"/>
      <c r="Q32" s="104"/>
      <c r="R32" s="104"/>
      <c r="S32" s="104"/>
      <c r="T32" s="104"/>
      <c r="U32" s="104"/>
      <c r="V32" s="216"/>
      <c r="AF32" s="54"/>
      <c r="AG32" s="54"/>
      <c r="AH32" s="244">
        <f t="shared" si="3"/>
        <v>28</v>
      </c>
      <c r="AI32" s="244">
        <f>RANK(Detailed!AC38,Detailed!$AC$11:$AC$70,0)</f>
        <v>28</v>
      </c>
      <c r="AT32" s="248"/>
      <c r="AU32" s="247" t="s">
        <v>49</v>
      </c>
      <c r="AV32" s="247" t="s">
        <v>49</v>
      </c>
      <c r="AW32" s="248"/>
      <c r="AX32" s="248"/>
      <c r="AY32" s="248"/>
      <c r="AZ32" s="248"/>
      <c r="BA32" s="248"/>
      <c r="BB32" s="247" t="s">
        <v>49</v>
      </c>
      <c r="BC32" s="247" t="s">
        <v>49</v>
      </c>
      <c r="BD32" s="248"/>
      <c r="BE32" s="248"/>
      <c r="BF32" s="248"/>
      <c r="BG32" s="247" t="s">
        <v>49</v>
      </c>
      <c r="BH32" s="248"/>
      <c r="BI32" s="249">
        <f t="shared" si="0"/>
        <v>5</v>
      </c>
    </row>
    <row r="33" spans="2:61" ht="15.75" customHeight="1">
      <c r="B33" s="215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45"/>
      <c r="N33" s="219">
        <v>29</v>
      </c>
      <c r="O33" s="220" t="s">
        <v>82</v>
      </c>
      <c r="P33" s="104"/>
      <c r="Q33" s="104"/>
      <c r="R33" s="104"/>
      <c r="S33" s="104"/>
      <c r="T33" s="104"/>
      <c r="U33" s="104"/>
      <c r="V33" s="216"/>
      <c r="AF33" s="54"/>
      <c r="AG33" s="54"/>
      <c r="AH33" s="244">
        <f t="shared" si="3"/>
        <v>29</v>
      </c>
      <c r="AI33" s="244">
        <f>RANK(Detailed!AC39,Detailed!$AC$11:$AC$70,0)</f>
        <v>29</v>
      </c>
      <c r="AT33" s="248"/>
      <c r="AU33" s="247" t="s">
        <v>49</v>
      </c>
      <c r="AV33" s="248"/>
      <c r="AW33" s="247" t="s">
        <v>49</v>
      </c>
      <c r="AX33" s="248"/>
      <c r="AY33" s="248"/>
      <c r="AZ33" s="248"/>
      <c r="BA33" s="248"/>
      <c r="BB33" s="247" t="s">
        <v>49</v>
      </c>
      <c r="BC33" s="247" t="s">
        <v>49</v>
      </c>
      <c r="BD33" s="248"/>
      <c r="BE33" s="248"/>
      <c r="BF33" s="248"/>
      <c r="BG33" s="247" t="s">
        <v>49</v>
      </c>
      <c r="BH33" s="248"/>
      <c r="BI33" s="249">
        <f t="shared" si="0"/>
        <v>5</v>
      </c>
    </row>
    <row r="34" spans="2:61" ht="15.75" customHeight="1">
      <c r="B34" s="215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145"/>
      <c r="N34" s="219">
        <v>30</v>
      </c>
      <c r="O34" s="220" t="s">
        <v>83</v>
      </c>
      <c r="P34" s="104"/>
      <c r="Q34" s="104"/>
      <c r="R34" s="104"/>
      <c r="S34" s="104"/>
      <c r="T34" s="104"/>
      <c r="U34" s="104"/>
      <c r="V34" s="216"/>
      <c r="AF34" s="54"/>
      <c r="AG34" s="54"/>
      <c r="AH34" s="244">
        <f t="shared" si="3"/>
        <v>30</v>
      </c>
      <c r="AI34" s="244">
        <f>RANK(Detailed!AC40,Detailed!$AC$11:$AC$70,0)</f>
        <v>30</v>
      </c>
      <c r="AT34" s="248"/>
      <c r="AU34" s="247" t="s">
        <v>49</v>
      </c>
      <c r="AV34" s="248"/>
      <c r="AW34" s="248"/>
      <c r="AX34" s="247" t="s">
        <v>49</v>
      </c>
      <c r="AY34" s="248"/>
      <c r="AZ34" s="248"/>
      <c r="BA34" s="248"/>
      <c r="BB34" s="247" t="s">
        <v>49</v>
      </c>
      <c r="BC34" s="247" t="s">
        <v>49</v>
      </c>
      <c r="BD34" s="248"/>
      <c r="BE34" s="248"/>
      <c r="BF34" s="248"/>
      <c r="BG34" s="247" t="s">
        <v>49</v>
      </c>
      <c r="BH34" s="248"/>
      <c r="BI34" s="249">
        <f t="shared" si="0"/>
        <v>5</v>
      </c>
    </row>
    <row r="35" spans="2:61" ht="15.75" customHeight="1">
      <c r="B35" s="215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145"/>
      <c r="N35" s="219">
        <v>31</v>
      </c>
      <c r="O35" s="220" t="s">
        <v>84</v>
      </c>
      <c r="P35" s="104"/>
      <c r="Q35" s="104"/>
      <c r="R35" s="104"/>
      <c r="S35" s="104"/>
      <c r="T35" s="104"/>
      <c r="U35" s="104"/>
      <c r="V35" s="216"/>
      <c r="AF35" s="54"/>
      <c r="AG35" s="54"/>
      <c r="AH35" s="244">
        <f t="shared" si="3"/>
        <v>31</v>
      </c>
      <c r="AI35" s="244">
        <f>RANK(Detailed!AC41,Detailed!$AC$11:$AC$70,0)</f>
        <v>31</v>
      </c>
      <c r="AT35" s="248"/>
      <c r="AU35" s="247" t="s">
        <v>49</v>
      </c>
      <c r="AV35" s="247" t="s">
        <v>49</v>
      </c>
      <c r="AW35" s="248"/>
      <c r="AX35" s="248"/>
      <c r="AY35" s="248"/>
      <c r="AZ35" s="248"/>
      <c r="BA35" s="247" t="s">
        <v>49</v>
      </c>
      <c r="BB35" s="248"/>
      <c r="BC35" s="247" t="s">
        <v>49</v>
      </c>
      <c r="BD35" s="248"/>
      <c r="BE35" s="248"/>
      <c r="BF35" s="248"/>
      <c r="BG35" s="248"/>
      <c r="BH35" s="247" t="s">
        <v>49</v>
      </c>
      <c r="BI35" s="249">
        <f t="shared" si="0"/>
        <v>5</v>
      </c>
    </row>
    <row r="36" spans="2:61" ht="15.75" customHeight="1">
      <c r="B36" s="215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145"/>
      <c r="N36" s="219">
        <v>32</v>
      </c>
      <c r="O36" s="220" t="s">
        <v>85</v>
      </c>
      <c r="P36" s="104"/>
      <c r="Q36" s="104"/>
      <c r="R36" s="104"/>
      <c r="S36" s="104"/>
      <c r="T36" s="104"/>
      <c r="U36" s="104"/>
      <c r="V36" s="216"/>
      <c r="AF36" s="54"/>
      <c r="AG36" s="54"/>
      <c r="AH36" s="244">
        <f t="shared" si="3"/>
        <v>32</v>
      </c>
      <c r="AI36" s="244">
        <f>RANK(Detailed!AC42,Detailed!$AC$11:$AC$70,0)</f>
        <v>32</v>
      </c>
      <c r="AT36" s="248"/>
      <c r="AU36" s="247" t="s">
        <v>49</v>
      </c>
      <c r="AV36" s="248"/>
      <c r="AW36" s="247" t="s">
        <v>49</v>
      </c>
      <c r="AX36" s="248"/>
      <c r="AY36" s="248"/>
      <c r="AZ36" s="248"/>
      <c r="BA36" s="247" t="s">
        <v>49</v>
      </c>
      <c r="BB36" s="248"/>
      <c r="BC36" s="247" t="s">
        <v>49</v>
      </c>
      <c r="BD36" s="248"/>
      <c r="BE36" s="248"/>
      <c r="BF36" s="248"/>
      <c r="BG36" s="248"/>
      <c r="BH36" s="247" t="s">
        <v>49</v>
      </c>
      <c r="BI36" s="249">
        <f t="shared" si="0"/>
        <v>5</v>
      </c>
    </row>
    <row r="37" spans="2:61" ht="15.75" customHeight="1">
      <c r="B37" s="215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145"/>
      <c r="N37" s="219">
        <v>33</v>
      </c>
      <c r="O37" s="220" t="s">
        <v>86</v>
      </c>
      <c r="P37" s="104"/>
      <c r="Q37" s="104"/>
      <c r="R37" s="104"/>
      <c r="S37" s="104"/>
      <c r="T37" s="104"/>
      <c r="U37" s="104"/>
      <c r="V37" s="216"/>
      <c r="AF37" s="54"/>
      <c r="AG37" s="54"/>
      <c r="AH37" s="244">
        <f t="shared" si="3"/>
        <v>33</v>
      </c>
      <c r="AI37" s="244">
        <f>RANK(Detailed!AC43,Detailed!$AC$11:$AC$70,0)</f>
        <v>33</v>
      </c>
      <c r="AT37" s="248"/>
      <c r="AU37" s="247" t="s">
        <v>49</v>
      </c>
      <c r="AV37" s="248"/>
      <c r="AW37" s="248"/>
      <c r="AX37" s="247" t="s">
        <v>49</v>
      </c>
      <c r="AY37" s="248"/>
      <c r="AZ37" s="248"/>
      <c r="BA37" s="247" t="s">
        <v>49</v>
      </c>
      <c r="BB37" s="248"/>
      <c r="BC37" s="247" t="s">
        <v>49</v>
      </c>
      <c r="BD37" s="248"/>
      <c r="BE37" s="248"/>
      <c r="BF37" s="248"/>
      <c r="BG37" s="248"/>
      <c r="BH37" s="247" t="s">
        <v>49</v>
      </c>
      <c r="BI37" s="249">
        <f t="shared" si="0"/>
        <v>5</v>
      </c>
    </row>
    <row r="38" spans="2:61" ht="15.75" customHeight="1">
      <c r="B38" s="215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145"/>
      <c r="N38" s="219">
        <v>34</v>
      </c>
      <c r="O38" s="220" t="s">
        <v>87</v>
      </c>
      <c r="P38" s="104"/>
      <c r="Q38" s="104"/>
      <c r="R38" s="104"/>
      <c r="S38" s="104"/>
      <c r="T38" s="104"/>
      <c r="U38" s="104"/>
      <c r="V38" s="216"/>
      <c r="AF38" s="54"/>
      <c r="AG38" s="54"/>
      <c r="AH38" s="244">
        <f t="shared" si="3"/>
        <v>34</v>
      </c>
      <c r="AI38" s="244">
        <f>RANK(Detailed!AC44,Detailed!$AC$11:$AC$70,0)</f>
        <v>34</v>
      </c>
      <c r="AT38" s="248"/>
      <c r="AU38" s="247" t="s">
        <v>49</v>
      </c>
      <c r="AV38" s="247" t="s">
        <v>49</v>
      </c>
      <c r="AW38" s="248"/>
      <c r="AX38" s="248"/>
      <c r="AY38" s="248"/>
      <c r="AZ38" s="248"/>
      <c r="BA38" s="248"/>
      <c r="BB38" s="247" t="s">
        <v>49</v>
      </c>
      <c r="BC38" s="247" t="s">
        <v>49</v>
      </c>
      <c r="BD38" s="248"/>
      <c r="BE38" s="248"/>
      <c r="BF38" s="248"/>
      <c r="BG38" s="248"/>
      <c r="BH38" s="247" t="s">
        <v>49</v>
      </c>
      <c r="BI38" s="249">
        <f t="shared" si="0"/>
        <v>5</v>
      </c>
    </row>
    <row r="39" spans="2:61" ht="15.75" customHeight="1">
      <c r="B39" s="215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145"/>
      <c r="N39" s="219">
        <v>35</v>
      </c>
      <c r="O39" s="220" t="s">
        <v>88</v>
      </c>
      <c r="P39" s="104"/>
      <c r="Q39" s="104"/>
      <c r="R39" s="104"/>
      <c r="S39" s="104"/>
      <c r="T39" s="104"/>
      <c r="U39" s="104"/>
      <c r="V39" s="216"/>
      <c r="AF39" s="54"/>
      <c r="AG39" s="54"/>
      <c r="AH39" s="244">
        <f t="shared" si="3"/>
        <v>35</v>
      </c>
      <c r="AI39" s="244">
        <f>RANK(Detailed!AC45,Detailed!$AC$11:$AC$70,0)</f>
        <v>35</v>
      </c>
      <c r="AT39" s="248"/>
      <c r="AU39" s="247" t="s">
        <v>49</v>
      </c>
      <c r="AV39" s="248"/>
      <c r="AW39" s="247" t="s">
        <v>49</v>
      </c>
      <c r="AX39" s="248"/>
      <c r="AY39" s="248"/>
      <c r="AZ39" s="248"/>
      <c r="BA39" s="248"/>
      <c r="BB39" s="247" t="s">
        <v>49</v>
      </c>
      <c r="BC39" s="247" t="s">
        <v>49</v>
      </c>
      <c r="BD39" s="248"/>
      <c r="BE39" s="248"/>
      <c r="BF39" s="248"/>
      <c r="BG39" s="248"/>
      <c r="BH39" s="247" t="s">
        <v>49</v>
      </c>
      <c r="BI39" s="249">
        <f t="shared" si="0"/>
        <v>5</v>
      </c>
    </row>
    <row r="40" spans="2:61" ht="15.75" customHeight="1">
      <c r="B40" s="215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145"/>
      <c r="N40" s="219">
        <v>36</v>
      </c>
      <c r="O40" s="220" t="s">
        <v>89</v>
      </c>
      <c r="P40" s="104"/>
      <c r="Q40" s="104"/>
      <c r="R40" s="104"/>
      <c r="S40" s="104"/>
      <c r="T40" s="104"/>
      <c r="U40" s="104"/>
      <c r="V40" s="216"/>
      <c r="AF40" s="54"/>
      <c r="AG40" s="54"/>
      <c r="AH40" s="244">
        <f t="shared" si="3"/>
        <v>36</v>
      </c>
      <c r="AI40" s="244">
        <f>RANK(Detailed!AC46,Detailed!$AC$11:$AC$70,0)</f>
        <v>36</v>
      </c>
      <c r="AT40" s="248"/>
      <c r="AU40" s="247" t="s">
        <v>49</v>
      </c>
      <c r="AV40" s="248"/>
      <c r="AW40" s="248"/>
      <c r="AX40" s="247" t="s">
        <v>49</v>
      </c>
      <c r="AY40" s="248"/>
      <c r="AZ40" s="248"/>
      <c r="BA40" s="248"/>
      <c r="BB40" s="247" t="s">
        <v>49</v>
      </c>
      <c r="BC40" s="247" t="s">
        <v>49</v>
      </c>
      <c r="BD40" s="248"/>
      <c r="BE40" s="248"/>
      <c r="BF40" s="248"/>
      <c r="BG40" s="248"/>
      <c r="BH40" s="247" t="s">
        <v>49</v>
      </c>
      <c r="BI40" s="249">
        <f t="shared" si="0"/>
        <v>5</v>
      </c>
    </row>
    <row r="41" spans="2:61" ht="15.75" customHeight="1">
      <c r="B41" s="215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145"/>
      <c r="N41" s="219">
        <v>37</v>
      </c>
      <c r="O41" s="220" t="s">
        <v>90</v>
      </c>
      <c r="P41" s="104"/>
      <c r="Q41" s="104"/>
      <c r="R41" s="104"/>
      <c r="S41" s="104"/>
      <c r="T41" s="104"/>
      <c r="U41" s="104"/>
      <c r="V41" s="216"/>
      <c r="AF41" s="54"/>
      <c r="AG41" s="54"/>
      <c r="AH41" s="244">
        <f t="shared" si="3"/>
        <v>37</v>
      </c>
      <c r="AI41" s="244">
        <f>RANK(Detailed!AC47,Detailed!$AC$11:$AC$70,0)</f>
        <v>37</v>
      </c>
      <c r="AT41" s="247" t="s">
        <v>49</v>
      </c>
      <c r="AU41" s="248"/>
      <c r="AV41" s="248"/>
      <c r="AW41" s="248"/>
      <c r="AX41" s="248"/>
      <c r="AY41" s="248"/>
      <c r="AZ41" s="248"/>
      <c r="BA41" s="247" t="s">
        <v>49</v>
      </c>
      <c r="BB41" s="248"/>
      <c r="BC41" s="248"/>
      <c r="BD41" s="247" t="s">
        <v>49</v>
      </c>
      <c r="BE41" s="247" t="s">
        <v>49</v>
      </c>
      <c r="BF41" s="248"/>
      <c r="BG41" s="248"/>
      <c r="BH41" s="248"/>
      <c r="BI41" s="249">
        <f t="shared" si="0"/>
        <v>4</v>
      </c>
    </row>
    <row r="42" spans="2:61" ht="15.75" customHeight="1">
      <c r="B42" s="215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145"/>
      <c r="N42" s="219">
        <v>38</v>
      </c>
      <c r="O42" s="220" t="s">
        <v>91</v>
      </c>
      <c r="P42" s="104"/>
      <c r="Q42" s="104"/>
      <c r="R42" s="104"/>
      <c r="S42" s="104"/>
      <c r="T42" s="104"/>
      <c r="U42" s="104"/>
      <c r="V42" s="216"/>
      <c r="AF42" s="54"/>
      <c r="AG42" s="54"/>
      <c r="AH42" s="244">
        <f t="shared" si="3"/>
        <v>38</v>
      </c>
      <c r="AI42" s="244">
        <f>RANK(Detailed!AC48,Detailed!$AC$11:$AC$70,0)</f>
        <v>38</v>
      </c>
      <c r="AT42" s="248"/>
      <c r="AU42" s="247" t="s">
        <v>49</v>
      </c>
      <c r="AV42" s="248"/>
      <c r="AW42" s="248"/>
      <c r="AX42" s="248"/>
      <c r="AY42" s="248"/>
      <c r="AZ42" s="248"/>
      <c r="BA42" s="247" t="s">
        <v>49</v>
      </c>
      <c r="BB42" s="248"/>
      <c r="BC42" s="248"/>
      <c r="BD42" s="247" t="s">
        <v>49</v>
      </c>
      <c r="BE42" s="248"/>
      <c r="BF42" s="247" t="s">
        <v>49</v>
      </c>
      <c r="BG42" s="248"/>
      <c r="BH42" s="248"/>
      <c r="BI42" s="249">
        <f t="shared" si="0"/>
        <v>4</v>
      </c>
    </row>
    <row r="43" spans="2:61" ht="15.75" customHeight="1">
      <c r="B43" s="215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145"/>
      <c r="N43" s="219">
        <v>39</v>
      </c>
      <c r="O43" s="220" t="s">
        <v>92</v>
      </c>
      <c r="P43" s="104"/>
      <c r="Q43" s="104"/>
      <c r="R43" s="104"/>
      <c r="S43" s="104"/>
      <c r="T43" s="104"/>
      <c r="U43" s="104"/>
      <c r="V43" s="216"/>
      <c r="AF43" s="54"/>
      <c r="AG43" s="54"/>
      <c r="AH43" s="244">
        <f t="shared" si="3"/>
        <v>39</v>
      </c>
      <c r="AI43" s="244">
        <f>RANK(Detailed!AC49,Detailed!$AC$11:$AC$70,0)</f>
        <v>39</v>
      </c>
      <c r="AT43" s="248"/>
      <c r="AU43" s="247" t="s">
        <v>49</v>
      </c>
      <c r="AV43" s="248"/>
      <c r="AW43" s="248"/>
      <c r="AX43" s="248"/>
      <c r="AY43" s="248"/>
      <c r="AZ43" s="248"/>
      <c r="BA43" s="247" t="s">
        <v>49</v>
      </c>
      <c r="BB43" s="248"/>
      <c r="BC43" s="248"/>
      <c r="BD43" s="247" t="s">
        <v>49</v>
      </c>
      <c r="BE43" s="248"/>
      <c r="BF43" s="248"/>
      <c r="BG43" s="247" t="s">
        <v>49</v>
      </c>
      <c r="BH43" s="248"/>
      <c r="BI43" s="249">
        <f t="shared" si="0"/>
        <v>4</v>
      </c>
    </row>
    <row r="44" spans="2:61" ht="15.75" customHeight="1">
      <c r="B44" s="215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145"/>
      <c r="N44" s="219">
        <v>40</v>
      </c>
      <c r="O44" s="220" t="s">
        <v>93</v>
      </c>
      <c r="P44" s="104"/>
      <c r="Q44" s="104"/>
      <c r="R44" s="104"/>
      <c r="S44" s="104"/>
      <c r="T44" s="104"/>
      <c r="U44" s="104"/>
      <c r="V44" s="216"/>
      <c r="AF44" s="54"/>
      <c r="AG44" s="54"/>
      <c r="AH44" s="244">
        <f t="shared" si="3"/>
        <v>40</v>
      </c>
      <c r="AI44" s="244">
        <f>RANK(Detailed!AC50,Detailed!$AC$11:$AC$70,0)</f>
        <v>40</v>
      </c>
      <c r="AT44" s="247" t="s">
        <v>49</v>
      </c>
      <c r="AU44" s="248"/>
      <c r="AV44" s="248"/>
      <c r="AW44" s="248"/>
      <c r="AX44" s="248"/>
      <c r="AY44" s="248"/>
      <c r="AZ44" s="248"/>
      <c r="BA44" s="248"/>
      <c r="BB44" s="247" t="s">
        <v>49</v>
      </c>
      <c r="BC44" s="248"/>
      <c r="BD44" s="247" t="s">
        <v>49</v>
      </c>
      <c r="BE44" s="247" t="s">
        <v>49</v>
      </c>
      <c r="BF44" s="248"/>
      <c r="BG44" s="248"/>
      <c r="BH44" s="248"/>
      <c r="BI44" s="249">
        <f t="shared" si="0"/>
        <v>4</v>
      </c>
    </row>
    <row r="45" spans="2:61" ht="15.75" customHeight="1">
      <c r="B45" s="215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145"/>
      <c r="N45" s="219">
        <v>41</v>
      </c>
      <c r="O45" s="220" t="s">
        <v>94</v>
      </c>
      <c r="P45" s="104"/>
      <c r="Q45" s="104"/>
      <c r="R45" s="104"/>
      <c r="S45" s="104"/>
      <c r="T45" s="104"/>
      <c r="U45" s="104"/>
      <c r="V45" s="216"/>
      <c r="AF45" s="54"/>
      <c r="AG45" s="54"/>
      <c r="AH45" s="244">
        <f t="shared" si="3"/>
        <v>41</v>
      </c>
      <c r="AI45" s="244">
        <f>RANK(Detailed!AC51,Detailed!$AC$11:$AC$70,0)</f>
        <v>41</v>
      </c>
      <c r="AT45" s="248"/>
      <c r="AU45" s="247" t="s">
        <v>49</v>
      </c>
      <c r="AV45" s="248"/>
      <c r="AW45" s="248"/>
      <c r="AX45" s="248"/>
      <c r="AY45" s="248"/>
      <c r="AZ45" s="248"/>
      <c r="BA45" s="248"/>
      <c r="BB45" s="247" t="s">
        <v>49</v>
      </c>
      <c r="BC45" s="248"/>
      <c r="BD45" s="247" t="s">
        <v>49</v>
      </c>
      <c r="BE45" s="248"/>
      <c r="BF45" s="247" t="s">
        <v>49</v>
      </c>
      <c r="BG45" s="248"/>
      <c r="BH45" s="248"/>
      <c r="BI45" s="249">
        <f t="shared" si="0"/>
        <v>4</v>
      </c>
    </row>
    <row r="46" spans="2:61" ht="15.75" customHeight="1">
      <c r="B46" s="215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145"/>
      <c r="N46" s="219">
        <v>42</v>
      </c>
      <c r="O46" s="220" t="s">
        <v>95</v>
      </c>
      <c r="P46" s="104"/>
      <c r="Q46" s="104"/>
      <c r="R46" s="104"/>
      <c r="S46" s="104"/>
      <c r="T46" s="104"/>
      <c r="U46" s="104"/>
      <c r="V46" s="216"/>
      <c r="AF46" s="54"/>
      <c r="AG46" s="54"/>
      <c r="AH46" s="244">
        <f t="shared" si="3"/>
        <v>42</v>
      </c>
      <c r="AI46" s="244">
        <f>RANK(Detailed!AC52,Detailed!$AC$11:$AC$70,0)</f>
        <v>42</v>
      </c>
      <c r="AT46" s="248"/>
      <c r="AU46" s="247" t="s">
        <v>49</v>
      </c>
      <c r="AV46" s="248"/>
      <c r="AW46" s="248"/>
      <c r="AX46" s="248"/>
      <c r="AY46" s="248"/>
      <c r="AZ46" s="248"/>
      <c r="BA46" s="248"/>
      <c r="BB46" s="247" t="s">
        <v>49</v>
      </c>
      <c r="BC46" s="248"/>
      <c r="BD46" s="247" t="s">
        <v>49</v>
      </c>
      <c r="BE46" s="248"/>
      <c r="BF46" s="248"/>
      <c r="BG46" s="247" t="s">
        <v>49</v>
      </c>
      <c r="BH46" s="248"/>
      <c r="BI46" s="249">
        <f t="shared" si="0"/>
        <v>4</v>
      </c>
    </row>
    <row r="47" spans="2:61" ht="15.75" customHeight="1">
      <c r="B47" s="215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145"/>
      <c r="N47" s="219">
        <v>43</v>
      </c>
      <c r="O47" s="220" t="s">
        <v>96</v>
      </c>
      <c r="P47" s="104"/>
      <c r="Q47" s="104"/>
      <c r="R47" s="104"/>
      <c r="S47" s="104"/>
      <c r="T47" s="104"/>
      <c r="U47" s="104"/>
      <c r="V47" s="216"/>
      <c r="AF47" s="54"/>
      <c r="AG47" s="54"/>
      <c r="AH47" s="244">
        <f t="shared" si="3"/>
        <v>43</v>
      </c>
      <c r="AI47" s="244">
        <f>RANK(Detailed!AC53,Detailed!$AC$11:$AC$70,0)</f>
        <v>43</v>
      </c>
      <c r="AT47" s="248"/>
      <c r="AU47" s="247" t="s">
        <v>49</v>
      </c>
      <c r="AV47" s="247" t="s">
        <v>49</v>
      </c>
      <c r="AW47" s="248"/>
      <c r="AX47" s="248"/>
      <c r="AY47" s="248"/>
      <c r="AZ47" s="248"/>
      <c r="BA47" s="247" t="s">
        <v>49</v>
      </c>
      <c r="BB47" s="248"/>
      <c r="BC47" s="248"/>
      <c r="BD47" s="247" t="s">
        <v>49</v>
      </c>
      <c r="BE47" s="248"/>
      <c r="BF47" s="247" t="s">
        <v>49</v>
      </c>
      <c r="BG47" s="248"/>
      <c r="BH47" s="248"/>
      <c r="BI47" s="249">
        <f t="shared" si="0"/>
        <v>5</v>
      </c>
    </row>
    <row r="48" spans="2:61" ht="15.75" customHeight="1">
      <c r="B48" s="215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145"/>
      <c r="N48" s="219">
        <v>44</v>
      </c>
      <c r="O48" s="220" t="s">
        <v>97</v>
      </c>
      <c r="P48" s="104"/>
      <c r="Q48" s="104"/>
      <c r="R48" s="104"/>
      <c r="S48" s="104"/>
      <c r="T48" s="104"/>
      <c r="U48" s="104"/>
      <c r="V48" s="216"/>
      <c r="AF48" s="54"/>
      <c r="AG48" s="54"/>
      <c r="AH48" s="244">
        <f t="shared" si="3"/>
        <v>44</v>
      </c>
      <c r="AI48" s="244">
        <f>RANK(Detailed!AC54,Detailed!$AC$11:$AC$70,0)</f>
        <v>44</v>
      </c>
      <c r="AT48" s="248"/>
      <c r="AU48" s="247" t="s">
        <v>49</v>
      </c>
      <c r="AV48" s="248"/>
      <c r="AW48" s="247" t="s">
        <v>49</v>
      </c>
      <c r="AX48" s="248"/>
      <c r="AY48" s="248"/>
      <c r="AZ48" s="248"/>
      <c r="BA48" s="247" t="s">
        <v>49</v>
      </c>
      <c r="BB48" s="248"/>
      <c r="BC48" s="248"/>
      <c r="BD48" s="247" t="s">
        <v>49</v>
      </c>
      <c r="BE48" s="248"/>
      <c r="BF48" s="247" t="s">
        <v>49</v>
      </c>
      <c r="BG48" s="248"/>
      <c r="BH48" s="248"/>
      <c r="BI48" s="249">
        <f t="shared" si="0"/>
        <v>5</v>
      </c>
    </row>
    <row r="49" spans="2:61" ht="15.75" customHeight="1">
      <c r="B49" s="215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145"/>
      <c r="N49" s="219">
        <v>45</v>
      </c>
      <c r="O49" s="220" t="s">
        <v>98</v>
      </c>
      <c r="P49" s="104"/>
      <c r="Q49" s="104"/>
      <c r="R49" s="104"/>
      <c r="S49" s="104"/>
      <c r="T49" s="104"/>
      <c r="U49" s="104"/>
      <c r="V49" s="216"/>
      <c r="AF49" s="54"/>
      <c r="AG49" s="54"/>
      <c r="AH49" s="244">
        <f t="shared" si="3"/>
        <v>45</v>
      </c>
      <c r="AI49" s="244">
        <f>RANK(Detailed!AC55,Detailed!$AC$11:$AC$70,0)</f>
        <v>45</v>
      </c>
      <c r="AT49" s="248"/>
      <c r="AU49" s="247" t="s">
        <v>49</v>
      </c>
      <c r="AV49" s="248"/>
      <c r="AW49" s="248"/>
      <c r="AX49" s="247" t="s">
        <v>49</v>
      </c>
      <c r="AY49" s="248"/>
      <c r="AZ49" s="248"/>
      <c r="BA49" s="247" t="s">
        <v>49</v>
      </c>
      <c r="BB49" s="248"/>
      <c r="BC49" s="248"/>
      <c r="BD49" s="247" t="s">
        <v>49</v>
      </c>
      <c r="BE49" s="248"/>
      <c r="BF49" s="247" t="s">
        <v>49</v>
      </c>
      <c r="BG49" s="248"/>
      <c r="BH49" s="248"/>
      <c r="BI49" s="249">
        <f t="shared" si="0"/>
        <v>5</v>
      </c>
    </row>
    <row r="50" spans="2:61" ht="15.75" customHeight="1">
      <c r="B50" s="215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145"/>
      <c r="N50" s="219">
        <v>46</v>
      </c>
      <c r="O50" s="220" t="s">
        <v>99</v>
      </c>
      <c r="P50" s="104"/>
      <c r="Q50" s="104"/>
      <c r="R50" s="104"/>
      <c r="S50" s="104"/>
      <c r="T50" s="104"/>
      <c r="U50" s="104"/>
      <c r="V50" s="216"/>
      <c r="AF50" s="54"/>
      <c r="AG50" s="54"/>
      <c r="AH50" s="244">
        <f t="shared" si="3"/>
        <v>46</v>
      </c>
      <c r="AI50" s="244">
        <f>RANK(Detailed!AC56,Detailed!$AC$11:$AC$70,0)</f>
        <v>46</v>
      </c>
      <c r="AT50" s="248"/>
      <c r="AU50" s="247" t="s">
        <v>49</v>
      </c>
      <c r="AV50" s="247" t="s">
        <v>49</v>
      </c>
      <c r="AW50" s="248"/>
      <c r="AX50" s="248"/>
      <c r="AY50" s="248"/>
      <c r="AZ50" s="248"/>
      <c r="BA50" s="247" t="s">
        <v>49</v>
      </c>
      <c r="BB50" s="248"/>
      <c r="BC50" s="248"/>
      <c r="BD50" s="247" t="s">
        <v>49</v>
      </c>
      <c r="BE50" s="248"/>
      <c r="BF50" s="248"/>
      <c r="BG50" s="247" t="s">
        <v>49</v>
      </c>
      <c r="BH50" s="248"/>
      <c r="BI50" s="249">
        <f t="shared" si="0"/>
        <v>5</v>
      </c>
    </row>
    <row r="51" spans="2:61" ht="15.75" customHeight="1">
      <c r="B51" s="215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145"/>
      <c r="N51" s="219">
        <v>47</v>
      </c>
      <c r="O51" s="220" t="s">
        <v>100</v>
      </c>
      <c r="P51" s="104"/>
      <c r="Q51" s="104"/>
      <c r="R51" s="104"/>
      <c r="S51" s="104"/>
      <c r="T51" s="104"/>
      <c r="U51" s="104"/>
      <c r="V51" s="216"/>
      <c r="AF51" s="54"/>
      <c r="AG51" s="54"/>
      <c r="AH51" s="244">
        <f t="shared" si="3"/>
        <v>47</v>
      </c>
      <c r="AI51" s="244">
        <f>RANK(Detailed!AC57,Detailed!$AC$11:$AC$70,0)</f>
        <v>47</v>
      </c>
      <c r="AT51" s="248"/>
      <c r="AU51" s="247" t="s">
        <v>49</v>
      </c>
      <c r="AV51" s="248"/>
      <c r="AW51" s="247" t="s">
        <v>49</v>
      </c>
      <c r="AX51" s="248"/>
      <c r="AY51" s="248"/>
      <c r="AZ51" s="248"/>
      <c r="BA51" s="247" t="s">
        <v>49</v>
      </c>
      <c r="BB51" s="248"/>
      <c r="BC51" s="248"/>
      <c r="BD51" s="247" t="s">
        <v>49</v>
      </c>
      <c r="BE51" s="248"/>
      <c r="BF51" s="248"/>
      <c r="BG51" s="247" t="s">
        <v>49</v>
      </c>
      <c r="BH51" s="248"/>
      <c r="BI51" s="249">
        <f t="shared" si="0"/>
        <v>5</v>
      </c>
    </row>
    <row r="52" spans="2:61" ht="15.75" customHeight="1">
      <c r="B52" s="215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145"/>
      <c r="N52" s="219">
        <v>48</v>
      </c>
      <c r="O52" s="220" t="s">
        <v>101</v>
      </c>
      <c r="P52" s="104"/>
      <c r="Q52" s="104"/>
      <c r="R52" s="104"/>
      <c r="S52" s="104"/>
      <c r="T52" s="104"/>
      <c r="U52" s="104"/>
      <c r="V52" s="216"/>
      <c r="AF52" s="54"/>
      <c r="AG52" s="54"/>
      <c r="AH52" s="244">
        <f t="shared" si="3"/>
        <v>48</v>
      </c>
      <c r="AI52" s="244">
        <f>RANK(Detailed!AC58,Detailed!$AC$11:$AC$70,0)</f>
        <v>48</v>
      </c>
      <c r="AT52" s="248"/>
      <c r="AU52" s="247" t="s">
        <v>49</v>
      </c>
      <c r="AV52" s="248"/>
      <c r="AW52" s="248"/>
      <c r="AX52" s="247" t="s">
        <v>49</v>
      </c>
      <c r="AY52" s="248"/>
      <c r="AZ52" s="248"/>
      <c r="BA52" s="247" t="s">
        <v>49</v>
      </c>
      <c r="BB52" s="248"/>
      <c r="BC52" s="248"/>
      <c r="BD52" s="247" t="s">
        <v>49</v>
      </c>
      <c r="BE52" s="248"/>
      <c r="BF52" s="248"/>
      <c r="BG52" s="247" t="s">
        <v>49</v>
      </c>
      <c r="BH52" s="248"/>
      <c r="BI52" s="249">
        <f t="shared" si="0"/>
        <v>5</v>
      </c>
    </row>
    <row r="53" spans="2:61" ht="15.75" customHeight="1">
      <c r="B53" s="215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145"/>
      <c r="N53" s="219">
        <v>49</v>
      </c>
      <c r="O53" s="220" t="s">
        <v>102</v>
      </c>
      <c r="P53" s="104"/>
      <c r="Q53" s="104"/>
      <c r="R53" s="104"/>
      <c r="S53" s="104"/>
      <c r="T53" s="104"/>
      <c r="U53" s="104"/>
      <c r="V53" s="216"/>
      <c r="AF53" s="54"/>
      <c r="AG53" s="54"/>
      <c r="AH53" s="244">
        <f t="shared" si="3"/>
        <v>49</v>
      </c>
      <c r="AI53" s="244">
        <f>RANK(Detailed!AC59,Detailed!$AC$11:$AC$70,0)</f>
        <v>49</v>
      </c>
      <c r="AT53" s="248"/>
      <c r="AU53" s="247" t="s">
        <v>49</v>
      </c>
      <c r="AV53" s="247" t="s">
        <v>49</v>
      </c>
      <c r="AW53" s="248"/>
      <c r="AX53" s="248"/>
      <c r="AY53" s="248"/>
      <c r="AZ53" s="248"/>
      <c r="BA53" s="248"/>
      <c r="BB53" s="247" t="s">
        <v>49</v>
      </c>
      <c r="BC53" s="248"/>
      <c r="BD53" s="247" t="s">
        <v>49</v>
      </c>
      <c r="BE53" s="248"/>
      <c r="BF53" s="247" t="s">
        <v>49</v>
      </c>
      <c r="BG53" s="248"/>
      <c r="BH53" s="248"/>
      <c r="BI53" s="249">
        <f t="shared" si="0"/>
        <v>5</v>
      </c>
    </row>
    <row r="54" spans="2:61" ht="15.75" customHeight="1">
      <c r="B54" s="215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145"/>
      <c r="N54" s="219">
        <v>50</v>
      </c>
      <c r="O54" s="220" t="s">
        <v>103</v>
      </c>
      <c r="P54" s="104"/>
      <c r="Q54" s="104"/>
      <c r="R54" s="104"/>
      <c r="S54" s="104"/>
      <c r="T54" s="104"/>
      <c r="U54" s="104"/>
      <c r="V54" s="216"/>
      <c r="AF54" s="54"/>
      <c r="AG54" s="54"/>
      <c r="AH54" s="244">
        <f t="shared" si="3"/>
        <v>50</v>
      </c>
      <c r="AI54" s="244">
        <f>RANK(Detailed!AC60,Detailed!$AC$11:$AC$70,0)</f>
        <v>50</v>
      </c>
      <c r="AT54" s="248"/>
      <c r="AU54" s="247" t="s">
        <v>49</v>
      </c>
      <c r="AV54" s="248"/>
      <c r="AW54" s="247" t="s">
        <v>49</v>
      </c>
      <c r="AX54" s="248"/>
      <c r="AY54" s="248"/>
      <c r="AZ54" s="248"/>
      <c r="BA54" s="248"/>
      <c r="BB54" s="247" t="s">
        <v>49</v>
      </c>
      <c r="BC54" s="248"/>
      <c r="BD54" s="247" t="s">
        <v>49</v>
      </c>
      <c r="BE54" s="248"/>
      <c r="BF54" s="247" t="s">
        <v>49</v>
      </c>
      <c r="BG54" s="248"/>
      <c r="BH54" s="248"/>
      <c r="BI54" s="249">
        <f t="shared" si="0"/>
        <v>5</v>
      </c>
    </row>
    <row r="55" spans="2:61" ht="15.75" customHeight="1">
      <c r="B55" s="215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145"/>
      <c r="N55" s="219">
        <v>51</v>
      </c>
      <c r="O55" s="220" t="s">
        <v>104</v>
      </c>
      <c r="P55" s="104"/>
      <c r="Q55" s="104"/>
      <c r="R55" s="104"/>
      <c r="S55" s="104"/>
      <c r="T55" s="104"/>
      <c r="U55" s="104"/>
      <c r="V55" s="216"/>
      <c r="AF55" s="54"/>
      <c r="AG55" s="54"/>
      <c r="AH55" s="244">
        <f t="shared" si="3"/>
        <v>51</v>
      </c>
      <c r="AI55" s="244">
        <f>RANK(Detailed!AC61,Detailed!$AC$11:$AC$70,0)</f>
        <v>51</v>
      </c>
      <c r="AT55" s="248"/>
      <c r="AU55" s="247" t="s">
        <v>49</v>
      </c>
      <c r="AV55" s="248"/>
      <c r="AW55" s="248"/>
      <c r="AX55" s="247" t="s">
        <v>49</v>
      </c>
      <c r="AY55" s="248"/>
      <c r="AZ55" s="248"/>
      <c r="BA55" s="248"/>
      <c r="BB55" s="247" t="s">
        <v>49</v>
      </c>
      <c r="BC55" s="248"/>
      <c r="BD55" s="247" t="s">
        <v>49</v>
      </c>
      <c r="BE55" s="248"/>
      <c r="BF55" s="247" t="s">
        <v>49</v>
      </c>
      <c r="BG55" s="248"/>
      <c r="BH55" s="248"/>
      <c r="BI55" s="249">
        <f t="shared" si="0"/>
        <v>5</v>
      </c>
    </row>
    <row r="56" spans="2:61" ht="15.75" customHeight="1">
      <c r="B56" s="215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145"/>
      <c r="N56" s="219">
        <v>52</v>
      </c>
      <c r="O56" s="220" t="s">
        <v>105</v>
      </c>
      <c r="P56" s="104"/>
      <c r="Q56" s="104"/>
      <c r="R56" s="104"/>
      <c r="S56" s="104"/>
      <c r="T56" s="104"/>
      <c r="U56" s="104"/>
      <c r="V56" s="216"/>
      <c r="AF56" s="54"/>
      <c r="AG56" s="54"/>
      <c r="AH56" s="244">
        <f t="shared" si="3"/>
        <v>52</v>
      </c>
      <c r="AI56" s="244">
        <f>RANK(Detailed!AC62,Detailed!$AC$11:$AC$70,0)</f>
        <v>52</v>
      </c>
      <c r="AT56" s="248"/>
      <c r="AU56" s="247" t="s">
        <v>49</v>
      </c>
      <c r="AV56" s="247" t="s">
        <v>49</v>
      </c>
      <c r="AW56" s="248"/>
      <c r="AX56" s="248"/>
      <c r="AY56" s="248"/>
      <c r="AZ56" s="248"/>
      <c r="BA56" s="248"/>
      <c r="BB56" s="247" t="s">
        <v>49</v>
      </c>
      <c r="BC56" s="248"/>
      <c r="BD56" s="247" t="s">
        <v>49</v>
      </c>
      <c r="BE56" s="248"/>
      <c r="BF56" s="248"/>
      <c r="BG56" s="247" t="s">
        <v>49</v>
      </c>
      <c r="BH56" s="248"/>
      <c r="BI56" s="249">
        <f t="shared" si="0"/>
        <v>5</v>
      </c>
    </row>
    <row r="57" spans="2:61" ht="15.75" customHeight="1">
      <c r="B57" s="215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145"/>
      <c r="N57" s="219">
        <v>53</v>
      </c>
      <c r="O57" s="220" t="s">
        <v>106</v>
      </c>
      <c r="P57" s="104"/>
      <c r="Q57" s="104"/>
      <c r="R57" s="104"/>
      <c r="S57" s="104"/>
      <c r="T57" s="104"/>
      <c r="U57" s="104"/>
      <c r="V57" s="216"/>
      <c r="AF57" s="54"/>
      <c r="AG57" s="54"/>
      <c r="AH57" s="244">
        <f t="shared" si="3"/>
        <v>53</v>
      </c>
      <c r="AI57" s="244">
        <f>RANK(Detailed!AC63,Detailed!$AC$11:$AC$70,0)</f>
        <v>53</v>
      </c>
      <c r="AT57" s="248"/>
      <c r="AU57" s="247" t="s">
        <v>49</v>
      </c>
      <c r="AV57" s="248"/>
      <c r="AW57" s="247" t="s">
        <v>49</v>
      </c>
      <c r="AX57" s="248"/>
      <c r="AY57" s="248"/>
      <c r="AZ57" s="248"/>
      <c r="BA57" s="248"/>
      <c r="BB57" s="247" t="s">
        <v>49</v>
      </c>
      <c r="BC57" s="248"/>
      <c r="BD57" s="247" t="s">
        <v>49</v>
      </c>
      <c r="BE57" s="248"/>
      <c r="BF57" s="248"/>
      <c r="BG57" s="247" t="s">
        <v>49</v>
      </c>
      <c r="BH57" s="248"/>
      <c r="BI57" s="249">
        <f t="shared" si="0"/>
        <v>5</v>
      </c>
    </row>
    <row r="58" spans="2:61" ht="15.75" customHeight="1">
      <c r="B58" s="215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145"/>
      <c r="N58" s="219">
        <v>54</v>
      </c>
      <c r="O58" s="220" t="s">
        <v>107</v>
      </c>
      <c r="P58" s="104"/>
      <c r="Q58" s="104"/>
      <c r="R58" s="104"/>
      <c r="S58" s="104"/>
      <c r="T58" s="104"/>
      <c r="U58" s="104"/>
      <c r="V58" s="216"/>
      <c r="AF58" s="54"/>
      <c r="AG58" s="54"/>
      <c r="AH58" s="244">
        <f t="shared" si="3"/>
        <v>54</v>
      </c>
      <c r="AI58" s="244">
        <f>RANK(Detailed!AC64,Detailed!$AC$11:$AC$70,0)</f>
        <v>54</v>
      </c>
      <c r="AT58" s="248"/>
      <c r="AU58" s="247" t="s">
        <v>49</v>
      </c>
      <c r="AV58" s="248"/>
      <c r="AW58" s="248"/>
      <c r="AX58" s="247" t="s">
        <v>49</v>
      </c>
      <c r="AY58" s="248"/>
      <c r="AZ58" s="248"/>
      <c r="BA58" s="248"/>
      <c r="BB58" s="247" t="s">
        <v>49</v>
      </c>
      <c r="BC58" s="248"/>
      <c r="BD58" s="247" t="s">
        <v>49</v>
      </c>
      <c r="BE58" s="248"/>
      <c r="BF58" s="248"/>
      <c r="BG58" s="247" t="s">
        <v>49</v>
      </c>
      <c r="BH58" s="248"/>
      <c r="BI58" s="249">
        <f t="shared" si="0"/>
        <v>5</v>
      </c>
    </row>
    <row r="59" spans="2:61" ht="15.75" customHeight="1">
      <c r="B59" s="215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145"/>
      <c r="N59" s="219">
        <v>55</v>
      </c>
      <c r="O59" s="220" t="s">
        <v>108</v>
      </c>
      <c r="P59" s="104"/>
      <c r="Q59" s="104"/>
      <c r="R59" s="104"/>
      <c r="S59" s="104"/>
      <c r="T59" s="104"/>
      <c r="U59" s="104"/>
      <c r="V59" s="216"/>
      <c r="AF59" s="54"/>
      <c r="AG59" s="54"/>
      <c r="AH59" s="244">
        <f t="shared" si="3"/>
        <v>55</v>
      </c>
      <c r="AI59" s="244">
        <f>RANK(Detailed!AC65,Detailed!$AC$11:$AC$70,0)</f>
        <v>55</v>
      </c>
      <c r="AT59" s="248"/>
      <c r="AU59" s="247" t="s">
        <v>49</v>
      </c>
      <c r="AV59" s="247" t="s">
        <v>49</v>
      </c>
      <c r="AW59" s="248"/>
      <c r="AX59" s="248"/>
      <c r="AY59" s="248"/>
      <c r="AZ59" s="248"/>
      <c r="BA59" s="247" t="s">
        <v>49</v>
      </c>
      <c r="BB59" s="248"/>
      <c r="BC59" s="248"/>
      <c r="BD59" s="247" t="s">
        <v>49</v>
      </c>
      <c r="BE59" s="248"/>
      <c r="BF59" s="248"/>
      <c r="BG59" s="248"/>
      <c r="BH59" s="247" t="s">
        <v>49</v>
      </c>
      <c r="BI59" s="249">
        <f t="shared" si="0"/>
        <v>5</v>
      </c>
    </row>
    <row r="60" spans="2:61" ht="15.75" customHeight="1">
      <c r="B60" s="215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145"/>
      <c r="N60" s="219">
        <v>56</v>
      </c>
      <c r="O60" s="220" t="s">
        <v>109</v>
      </c>
      <c r="P60" s="104"/>
      <c r="Q60" s="104"/>
      <c r="R60" s="104"/>
      <c r="S60" s="104"/>
      <c r="T60" s="104"/>
      <c r="U60" s="104"/>
      <c r="V60" s="216"/>
      <c r="AF60" s="54"/>
      <c r="AG60" s="54"/>
      <c r="AH60" s="244">
        <f t="shared" si="3"/>
        <v>56</v>
      </c>
      <c r="AI60" s="244">
        <f>RANK(Detailed!AC66,Detailed!$AC$11:$AC$70,0)</f>
        <v>56</v>
      </c>
      <c r="AT60" s="248"/>
      <c r="AU60" s="247" t="s">
        <v>49</v>
      </c>
      <c r="AV60" s="248"/>
      <c r="AW60" s="247" t="s">
        <v>49</v>
      </c>
      <c r="AX60" s="248"/>
      <c r="AY60" s="248"/>
      <c r="AZ60" s="248"/>
      <c r="BA60" s="247" t="s">
        <v>49</v>
      </c>
      <c r="BB60" s="248"/>
      <c r="BC60" s="248"/>
      <c r="BD60" s="247" t="s">
        <v>49</v>
      </c>
      <c r="BE60" s="248"/>
      <c r="BF60" s="248"/>
      <c r="BG60" s="248"/>
      <c r="BH60" s="247" t="s">
        <v>49</v>
      </c>
      <c r="BI60" s="249">
        <f t="shared" si="0"/>
        <v>5</v>
      </c>
    </row>
    <row r="61" spans="2:61" ht="15.75" customHeight="1">
      <c r="B61" s="215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5"/>
      <c r="N61" s="219">
        <v>57</v>
      </c>
      <c r="O61" s="220" t="s">
        <v>110</v>
      </c>
      <c r="P61" s="104"/>
      <c r="Q61" s="104"/>
      <c r="R61" s="104"/>
      <c r="S61" s="104"/>
      <c r="T61" s="104"/>
      <c r="U61" s="104"/>
      <c r="V61" s="216"/>
      <c r="AF61" s="54"/>
      <c r="AG61" s="54"/>
      <c r="AH61" s="244">
        <f t="shared" si="3"/>
        <v>57</v>
      </c>
      <c r="AI61" s="244">
        <f>RANK(Detailed!AC67,Detailed!$AC$11:$AC$70,0)</f>
        <v>57</v>
      </c>
      <c r="AT61" s="248"/>
      <c r="AU61" s="247" t="s">
        <v>49</v>
      </c>
      <c r="AV61" s="248"/>
      <c r="AW61" s="248"/>
      <c r="AX61" s="247" t="s">
        <v>49</v>
      </c>
      <c r="AY61" s="248"/>
      <c r="AZ61" s="248"/>
      <c r="BA61" s="247" t="s">
        <v>49</v>
      </c>
      <c r="BB61" s="248"/>
      <c r="BC61" s="248"/>
      <c r="BD61" s="247" t="s">
        <v>49</v>
      </c>
      <c r="BE61" s="248"/>
      <c r="BF61" s="248"/>
      <c r="BG61" s="248"/>
      <c r="BH61" s="247" t="s">
        <v>49</v>
      </c>
      <c r="BI61" s="249">
        <f t="shared" si="0"/>
        <v>5</v>
      </c>
    </row>
    <row r="62" spans="2:61" ht="15.75" customHeight="1">
      <c r="B62" s="215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145"/>
      <c r="N62" s="219">
        <v>58</v>
      </c>
      <c r="O62" s="220" t="s">
        <v>111</v>
      </c>
      <c r="P62" s="104"/>
      <c r="Q62" s="104"/>
      <c r="R62" s="104"/>
      <c r="S62" s="104"/>
      <c r="T62" s="104"/>
      <c r="U62" s="104"/>
      <c r="V62" s="216"/>
      <c r="AF62" s="54"/>
      <c r="AG62" s="54"/>
      <c r="AH62" s="244">
        <f t="shared" si="3"/>
        <v>58</v>
      </c>
      <c r="AI62" s="244">
        <f>RANK(Detailed!AC68,Detailed!$AC$11:$AC$70,0)</f>
        <v>58</v>
      </c>
      <c r="AT62" s="248"/>
      <c r="AU62" s="247" t="s">
        <v>49</v>
      </c>
      <c r="AV62" s="247" t="s">
        <v>49</v>
      </c>
      <c r="AW62" s="248"/>
      <c r="AX62" s="248"/>
      <c r="AY62" s="248"/>
      <c r="AZ62" s="248"/>
      <c r="BA62" s="248"/>
      <c r="BB62" s="247" t="s">
        <v>49</v>
      </c>
      <c r="BC62" s="248"/>
      <c r="BD62" s="247" t="s">
        <v>49</v>
      </c>
      <c r="BE62" s="248"/>
      <c r="BF62" s="248"/>
      <c r="BG62" s="248"/>
      <c r="BH62" s="247" t="s">
        <v>49</v>
      </c>
      <c r="BI62" s="249">
        <f t="shared" si="0"/>
        <v>5</v>
      </c>
    </row>
    <row r="63" spans="2:61" ht="15.75" customHeight="1">
      <c r="B63" s="215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145"/>
      <c r="N63" s="219">
        <v>59</v>
      </c>
      <c r="O63" s="220" t="s">
        <v>112</v>
      </c>
      <c r="P63" s="104"/>
      <c r="Q63" s="104"/>
      <c r="R63" s="104"/>
      <c r="S63" s="104"/>
      <c r="T63" s="104"/>
      <c r="U63" s="104"/>
      <c r="V63" s="216"/>
      <c r="AF63" s="54"/>
      <c r="AG63" s="54"/>
      <c r="AH63" s="244">
        <f t="shared" si="3"/>
        <v>59</v>
      </c>
      <c r="AI63" s="244">
        <f>RANK(Detailed!AC69,Detailed!$AC$11:$AC$70,0)</f>
        <v>59</v>
      </c>
      <c r="AT63" s="248"/>
      <c r="AU63" s="247" t="s">
        <v>49</v>
      </c>
      <c r="AV63" s="248"/>
      <c r="AW63" s="247" t="s">
        <v>49</v>
      </c>
      <c r="AX63" s="248"/>
      <c r="AY63" s="248"/>
      <c r="AZ63" s="248"/>
      <c r="BA63" s="248"/>
      <c r="BB63" s="247" t="s">
        <v>49</v>
      </c>
      <c r="BC63" s="248"/>
      <c r="BD63" s="247" t="s">
        <v>49</v>
      </c>
      <c r="BE63" s="248"/>
      <c r="BF63" s="248"/>
      <c r="BG63" s="248"/>
      <c r="BH63" s="247" t="s">
        <v>49</v>
      </c>
      <c r="BI63" s="249">
        <f t="shared" si="0"/>
        <v>5</v>
      </c>
    </row>
    <row r="64" spans="2:61" ht="15.75" customHeight="1" thickBot="1">
      <c r="B64" s="215"/>
      <c r="C64" s="207"/>
      <c r="D64" s="104"/>
      <c r="E64" s="104"/>
      <c r="F64" s="104"/>
      <c r="G64" s="104"/>
      <c r="H64" s="104"/>
      <c r="I64" s="207"/>
      <c r="J64" s="207"/>
      <c r="K64" s="207"/>
      <c r="L64" s="207"/>
      <c r="M64" s="145"/>
      <c r="N64" s="221">
        <v>60</v>
      </c>
      <c r="O64" s="222" t="s">
        <v>113</v>
      </c>
      <c r="P64" s="104"/>
      <c r="Q64" s="104"/>
      <c r="R64" s="104"/>
      <c r="S64" s="104"/>
      <c r="T64" s="104"/>
      <c r="U64" s="104"/>
      <c r="V64" s="216"/>
      <c r="AF64" s="54"/>
      <c r="AG64" s="54"/>
      <c r="AH64" s="244">
        <f t="shared" si="3"/>
        <v>60</v>
      </c>
      <c r="AI64" s="244">
        <f>RANK(Detailed!AC70,Detailed!$AC$11:$AC$70,0)</f>
        <v>60</v>
      </c>
      <c r="AT64" s="248"/>
      <c r="AU64" s="247" t="s">
        <v>49</v>
      </c>
      <c r="AV64" s="248"/>
      <c r="AW64" s="248"/>
      <c r="AX64" s="247" t="s">
        <v>49</v>
      </c>
      <c r="AY64" s="248"/>
      <c r="AZ64" s="248"/>
      <c r="BA64" s="248"/>
      <c r="BB64" s="247" t="s">
        <v>49</v>
      </c>
      <c r="BC64" s="248"/>
      <c r="BD64" s="247" t="s">
        <v>49</v>
      </c>
      <c r="BE64" s="248"/>
      <c r="BF64" s="248"/>
      <c r="BG64" s="248"/>
      <c r="BH64" s="247" t="s">
        <v>49</v>
      </c>
      <c r="BI64" s="249">
        <f t="shared" si="0"/>
        <v>5</v>
      </c>
    </row>
    <row r="65" spans="2:61" ht="48" customHeight="1" thickBot="1">
      <c r="B65" s="227"/>
      <c r="C65" s="226"/>
      <c r="D65" s="277" t="s">
        <v>127</v>
      </c>
      <c r="E65" s="278"/>
      <c r="F65" s="278"/>
      <c r="G65" s="278"/>
      <c r="H65" s="279"/>
      <c r="I65" s="208"/>
      <c r="J65" s="208"/>
      <c r="K65" s="208"/>
      <c r="L65" s="208"/>
      <c r="M65" s="157"/>
      <c r="N65" s="211"/>
      <c r="O65" s="228"/>
      <c r="P65" s="217"/>
      <c r="Q65" s="217"/>
      <c r="R65" s="217"/>
      <c r="S65" s="217"/>
      <c r="T65" s="217"/>
      <c r="U65" s="217"/>
      <c r="V65" s="218"/>
      <c r="AT65" s="250"/>
      <c r="AU65" s="250"/>
      <c r="AV65" s="250"/>
      <c r="AW65" s="250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</row>
    <row r="66" spans="3:19" ht="17.25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76"/>
      <c r="O66" s="76"/>
      <c r="P66" s="76"/>
      <c r="Q66" s="76"/>
      <c r="R66" s="76"/>
      <c r="S66" s="76"/>
    </row>
    <row r="67" spans="3:19" ht="17.25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76"/>
      <c r="O67" s="76"/>
      <c r="P67" s="76"/>
      <c r="Q67" s="76"/>
      <c r="R67" s="76"/>
      <c r="S67" s="76"/>
    </row>
    <row r="68" spans="3:13" ht="12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3:13" ht="15">
      <c r="C69" s="53"/>
      <c r="D69" s="53"/>
      <c r="E69" s="53"/>
      <c r="F69" s="53"/>
      <c r="G69" s="53"/>
      <c r="H69" s="53"/>
      <c r="I69" s="77"/>
      <c r="J69" s="77"/>
      <c r="K69" s="77"/>
      <c r="L69" s="77"/>
      <c r="M69" s="77"/>
    </row>
    <row r="70" spans="3:13" ht="12.75">
      <c r="C70" s="53"/>
      <c r="D70" s="53"/>
      <c r="E70" s="53"/>
      <c r="F70" s="53"/>
      <c r="G70" s="53"/>
      <c r="H70" s="53"/>
      <c r="I70" s="78"/>
      <c r="J70" s="78"/>
      <c r="K70" s="78"/>
      <c r="L70" s="78"/>
      <c r="M70" s="78"/>
    </row>
    <row r="71" spans="9:13" ht="51" customHeight="1">
      <c r="I71" s="78"/>
      <c r="J71" s="78"/>
      <c r="K71" s="78"/>
      <c r="L71" s="78"/>
      <c r="M71" s="78"/>
    </row>
    <row r="72" ht="12">
      <c r="M72" s="53"/>
    </row>
    <row r="73" ht="12">
      <c r="M73" s="53"/>
    </row>
  </sheetData>
  <sheetProtection password="DBD9" sheet="1" objects="1" scenarios="1" selectLockedCells="1"/>
  <mergeCells count="18">
    <mergeCell ref="S23:U23"/>
    <mergeCell ref="D65:H65"/>
    <mergeCell ref="AT3:AU3"/>
    <mergeCell ref="N3:O3"/>
    <mergeCell ref="E31:G31"/>
    <mergeCell ref="S5:U5"/>
    <mergeCell ref="D29:E29"/>
    <mergeCell ref="D28:E28"/>
    <mergeCell ref="B2:V2"/>
    <mergeCell ref="BI3:BI4"/>
    <mergeCell ref="G28:H28"/>
    <mergeCell ref="F9:H9"/>
    <mergeCell ref="BE3:BH3"/>
    <mergeCell ref="BC3:BD3"/>
    <mergeCell ref="AY3:BB3"/>
    <mergeCell ref="AV3:AX3"/>
    <mergeCell ref="S20:U20"/>
    <mergeCell ref="S22:U22"/>
  </mergeCells>
  <conditionalFormatting sqref="C14:E14 D21:E22 C21">
    <cfRule type="cellIs" priority="1" dxfId="6" operator="equal" stopIfTrue="1">
      <formula>AO14</formula>
    </cfRule>
  </conditionalFormatting>
  <conditionalFormatting sqref="C15:D16 C22">
    <cfRule type="cellIs" priority="2" dxfId="7" operator="equal" stopIfTrue="1">
      <formula>AO15</formula>
    </cfRule>
  </conditionalFormatting>
  <conditionalFormatting sqref="E15:E16">
    <cfRule type="cellIs" priority="3" dxfId="6" operator="equal" stopIfTrue="1">
      <formula>AQ15</formula>
    </cfRule>
  </conditionalFormatting>
  <conditionalFormatting sqref="N5:N64">
    <cfRule type="cellIs" priority="4" dxfId="2" operator="equal" stopIfTrue="1">
      <formula>$E$5</formula>
    </cfRule>
  </conditionalFormatting>
  <conditionalFormatting sqref="D28:E28">
    <cfRule type="cellIs" priority="5" dxfId="0" operator="equal" stopIfTrue="1">
      <formula>"Error in classification"</formula>
    </cfRule>
    <cfRule type="cellIs" priority="6" dxfId="3" operator="equal" stopIfTrue="1">
      <formula>"CORRECT CLASSIFICATION"</formula>
    </cfRule>
  </conditionalFormatting>
  <conditionalFormatting sqref="F9:H9">
    <cfRule type="cellIs" priority="7" dxfId="2" operator="equal" stopIfTrue="1">
      <formula>"too many crosses"</formula>
    </cfRule>
  </conditionalFormatting>
  <conditionalFormatting sqref="D9">
    <cfRule type="cellIs" priority="8" dxfId="1" operator="equal" stopIfTrue="1">
      <formula>"*"</formula>
    </cfRule>
  </conditionalFormatting>
  <hyperlinks>
    <hyperlink ref="E31" r:id="rId1" display="Monthly Input Form"/>
  </hyperlinks>
  <printOptions horizontalCentered="1" verticalCentered="1"/>
  <pageMargins left="0.57" right="0.55" top="0.5511811023622047" bottom="0.5511811023622047" header="0.3937007874015748" footer="0.3937007874015748"/>
  <pageSetup fitToHeight="1" fitToWidth="1" horizontalDpi="600" verticalDpi="600" orientation="portrait" paperSize="9" scale="54" r:id="rId4"/>
  <headerFooter alignWithMargins="0">
    <oddHeader>&amp;C&amp;"Arial,Halvfet"SUNSPOT CLASSIFICATION TO ZÜRICH/McINTOSH WITH CLASSIFICATION VALUES (CV)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A4" sqref="AA4"/>
    </sheetView>
  </sheetViews>
  <sheetFormatPr defaultColWidth="9.140625" defaultRowHeight="12.75"/>
  <cols>
    <col min="1" max="1" width="12.8515625" style="2" customWidth="1"/>
    <col min="2" max="4" width="5.7109375" style="2" customWidth="1"/>
    <col min="5" max="20" width="4.28125" style="2" bestFit="1" customWidth="1"/>
    <col min="21" max="24" width="6.7109375" style="2" customWidth="1"/>
    <col min="25" max="25" width="7.8515625" style="2" customWidth="1"/>
    <col min="26" max="16384" width="9.140625" style="2" customWidth="1"/>
  </cols>
  <sheetData>
    <row r="1" spans="2:25" ht="15.75" thickBot="1">
      <c r="B1" s="297" t="s">
        <v>41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  <c r="U1" s="12"/>
      <c r="V1" s="12"/>
      <c r="W1" s="12"/>
      <c r="X1" s="31">
        <f ca="1">OFFSET($X$10,Y1,0)</f>
        <v>0</v>
      </c>
      <c r="Y1" s="31">
        <f>MAX(Y11:Y70)</f>
        <v>0</v>
      </c>
    </row>
    <row r="2" spans="2:25" ht="15.75" customHeight="1">
      <c r="B2" s="26"/>
      <c r="C2" s="15"/>
      <c r="D2" s="15"/>
      <c r="E2" s="288">
        <v>1</v>
      </c>
      <c r="F2" s="289"/>
      <c r="G2" s="290"/>
      <c r="H2" s="300" t="s">
        <v>20</v>
      </c>
      <c r="I2" s="302"/>
      <c r="J2" s="301"/>
      <c r="K2" s="288">
        <v>2</v>
      </c>
      <c r="L2" s="289"/>
      <c r="M2" s="289"/>
      <c r="N2" s="290"/>
      <c r="O2" s="300" t="s">
        <v>31</v>
      </c>
      <c r="P2" s="301"/>
      <c r="Q2" s="288">
        <v>3</v>
      </c>
      <c r="R2" s="289"/>
      <c r="S2" s="289"/>
      <c r="T2" s="290"/>
      <c r="U2" s="15"/>
      <c r="V2" s="15"/>
      <c r="W2" s="15"/>
      <c r="X2" s="44" t="e">
        <f>IF(V5="CORRECT CLASSIFICATION",1,COUNTIF(U11:U70,CONCATENATE("&gt;=",1)))</f>
        <v>#N/A</v>
      </c>
      <c r="Y2" s="45" t="e">
        <f>IF(X2=1,"match","matches")</f>
        <v>#N/A</v>
      </c>
    </row>
    <row r="3" spans="2:42" ht="93.75" customHeight="1">
      <c r="B3" s="26"/>
      <c r="C3" s="15"/>
      <c r="D3" s="15"/>
      <c r="E3" s="291" t="s">
        <v>16</v>
      </c>
      <c r="F3" s="292"/>
      <c r="G3" s="293"/>
      <c r="H3" s="294" t="s">
        <v>21</v>
      </c>
      <c r="I3" s="295"/>
      <c r="J3" s="296"/>
      <c r="K3" s="291" t="s">
        <v>26</v>
      </c>
      <c r="L3" s="292"/>
      <c r="M3" s="292"/>
      <c r="N3" s="293"/>
      <c r="O3" s="294" t="s">
        <v>32</v>
      </c>
      <c r="P3" s="296"/>
      <c r="Q3" s="291" t="s">
        <v>36</v>
      </c>
      <c r="R3" s="292"/>
      <c r="S3" s="292"/>
      <c r="T3" s="293"/>
      <c r="U3" s="15"/>
      <c r="V3" s="15"/>
      <c r="W3" s="15"/>
      <c r="X3" s="15"/>
      <c r="Y3" s="16"/>
      <c r="AA3" s="2">
        <v>1</v>
      </c>
      <c r="AB3" s="2">
        <v>2</v>
      </c>
      <c r="AC3" s="2">
        <v>3</v>
      </c>
      <c r="AD3" s="2">
        <v>4</v>
      </c>
      <c r="AE3" s="2">
        <v>5</v>
      </c>
      <c r="AF3" s="2">
        <v>6</v>
      </c>
      <c r="AG3" s="2">
        <v>7</v>
      </c>
      <c r="AH3" s="2">
        <v>8</v>
      </c>
      <c r="AI3" s="2">
        <v>9</v>
      </c>
      <c r="AJ3" s="2">
        <v>10</v>
      </c>
      <c r="AK3" s="2">
        <v>11</v>
      </c>
      <c r="AL3" s="2">
        <v>12</v>
      </c>
      <c r="AM3" s="2">
        <v>13</v>
      </c>
      <c r="AN3" s="2">
        <v>14</v>
      </c>
      <c r="AO3" s="2">
        <v>15</v>
      </c>
      <c r="AP3" s="2">
        <v>16</v>
      </c>
    </row>
    <row r="4" spans="2:42" ht="75" thickBot="1">
      <c r="B4" s="26"/>
      <c r="C4" s="15"/>
      <c r="D4" s="33"/>
      <c r="E4" s="4" t="s">
        <v>17</v>
      </c>
      <c r="F4" s="5" t="s">
        <v>18</v>
      </c>
      <c r="G4" s="6" t="s">
        <v>19</v>
      </c>
      <c r="H4" s="7" t="s">
        <v>22</v>
      </c>
      <c r="I4" s="8" t="s">
        <v>24</v>
      </c>
      <c r="J4" s="9" t="s">
        <v>25</v>
      </c>
      <c r="K4" s="4" t="s">
        <v>27</v>
      </c>
      <c r="L4" s="5" t="s">
        <v>28</v>
      </c>
      <c r="M4" s="5" t="s">
        <v>29</v>
      </c>
      <c r="N4" s="5" t="s">
        <v>30</v>
      </c>
      <c r="O4" s="7" t="s">
        <v>33</v>
      </c>
      <c r="P4" s="9" t="s">
        <v>35</v>
      </c>
      <c r="Q4" s="4" t="s">
        <v>37</v>
      </c>
      <c r="R4" s="5" t="s">
        <v>38</v>
      </c>
      <c r="S4" s="5" t="s">
        <v>39</v>
      </c>
      <c r="T4" s="6" t="s">
        <v>40</v>
      </c>
      <c r="U4" s="15"/>
      <c r="V4" s="15"/>
      <c r="W4" s="15"/>
      <c r="X4" s="15"/>
      <c r="Y4" s="16"/>
      <c r="AA4" s="99">
        <f aca="true" ca="1" t="shared" si="0" ref="AA4:AP4">IF(OFFSET(E$10,$Y$1,0)=1,E5,"")</f>
      </c>
      <c r="AB4" s="99">
        <f ca="1" t="shared" si="0"/>
      </c>
      <c r="AC4" s="99">
        <f ca="1" t="shared" si="0"/>
      </c>
      <c r="AD4" s="99">
        <f ca="1" t="shared" si="0"/>
      </c>
      <c r="AE4" s="99">
        <f ca="1" t="shared" si="0"/>
      </c>
      <c r="AF4" s="99">
        <f ca="1" t="shared" si="0"/>
      </c>
      <c r="AG4" s="99">
        <f ca="1" t="shared" si="0"/>
      </c>
      <c r="AH4" s="99">
        <f ca="1" t="shared" si="0"/>
      </c>
      <c r="AI4" s="99">
        <f ca="1" t="shared" si="0"/>
      </c>
      <c r="AJ4" s="99">
        <f ca="1" t="shared" si="0"/>
      </c>
      <c r="AK4" s="99">
        <f ca="1" t="shared" si="0"/>
      </c>
      <c r="AL4" s="99">
        <f ca="1" t="shared" si="0"/>
      </c>
      <c r="AM4" s="99">
        <f ca="1" t="shared" si="0"/>
      </c>
      <c r="AN4" s="99">
        <f ca="1" t="shared" si="0"/>
      </c>
      <c r="AO4" s="99">
        <f ca="1" t="shared" si="0"/>
      </c>
      <c r="AP4" s="99">
        <f ca="1" t="shared" si="0"/>
      </c>
    </row>
    <row r="5" spans="1:42" ht="15.75" thickBot="1">
      <c r="A5"/>
      <c r="B5" s="26"/>
      <c r="C5" s="15"/>
      <c r="D5" s="33"/>
      <c r="E5" s="47">
        <f ca="1">IF(OFFSET(Classification!$F$10,AA3,0)="","",OFFSET(Classification!$F$10,AA3,0))</f>
      </c>
      <c r="F5" s="47">
        <f ca="1">IF(OFFSET(Classification!$F$10,AB3,0)="","",OFFSET(Classification!$F$10,AB3,0))</f>
      </c>
      <c r="G5" s="47">
        <f ca="1">IF(OFFSET(Classification!$F$10,AC3,0)="","",OFFSET(Classification!$F$10,AC3,0))</f>
      </c>
      <c r="H5" s="47">
        <f ca="1">IF(OFFSET(Classification!$F$10,AD3,0)="","",OFFSET(Classification!$F$10,AD3,0))</f>
      </c>
      <c r="I5" s="47">
        <f ca="1">IF(OFFSET(Classification!$F$10,AE3,0)="","",OFFSET(Classification!$F$10,AE3,0))</f>
      </c>
      <c r="J5" s="47">
        <f ca="1">IF(OFFSET(Classification!$F$10,AF3,0)="","",OFFSET(Classification!$F$10,AF3,0))</f>
      </c>
      <c r="K5" s="47">
        <f ca="1">IF(OFFSET(Classification!$F$10,AG3,0)="","",OFFSET(Classification!$F$10,AG3,0))</f>
      </c>
      <c r="L5" s="47">
        <f ca="1">IF(OFFSET(Classification!$F$10,AH3,0)="","",OFFSET(Classification!$F$10,AH3,0))</f>
      </c>
      <c r="M5" s="47">
        <f ca="1">IF(OFFSET(Classification!$F$10,AI3,0)="","",OFFSET(Classification!$F$10,AI3,0))</f>
      </c>
      <c r="N5" s="47">
        <f ca="1">IF(OFFSET(Classification!$F$10,AJ3,0)="","",OFFSET(Classification!$F$10,AJ3,0))</f>
      </c>
      <c r="O5" s="47">
        <f ca="1">IF(OFFSET(Classification!$F$10,AK3,0)="","",OFFSET(Classification!$F$10,AK3,0))</f>
      </c>
      <c r="P5" s="47">
        <f ca="1">IF(OFFSET(Classification!$F$10,AL3,0)="","",OFFSET(Classification!$F$10,AL3,0))</f>
      </c>
      <c r="Q5" s="47">
        <f ca="1">IF(OFFSET(Classification!$F$10,AM3,0)="","",OFFSET(Classification!$F$10,AM3,0))</f>
      </c>
      <c r="R5" s="47">
        <f ca="1">IF(OFFSET(Classification!$F$10,AN3,0)="","",OFFSET(Classification!$F$10,AN3,0))</f>
      </c>
      <c r="S5" s="47">
        <f ca="1">IF(OFFSET(Classification!$F$10,AO3,0)="","",OFFSET(Classification!$F$10,AO3,0))</f>
      </c>
      <c r="T5" s="47">
        <f ca="1">IF(OFFSET(Classification!$F$10,AP3,0)="","",OFFSET(Classification!$F$10,AP3,0))</f>
      </c>
      <c r="U5" s="15"/>
      <c r="V5" s="48" t="e">
        <f ca="1">IF(OFFSET(U10,MATCH(X1,X11:X70,0),0)=SUM(COUNTA(E5:T5)-COUNTBLANK(E5:T5)),"CORRECT CLASSIFICATION","Error in classification")</f>
        <v>#N/A</v>
      </c>
      <c r="W5" s="49"/>
      <c r="X5" s="49"/>
      <c r="Y5" s="50"/>
      <c r="AA5" s="100">
        <v>11</v>
      </c>
      <c r="AB5" s="100">
        <v>12</v>
      </c>
      <c r="AC5" s="100">
        <v>13</v>
      </c>
      <c r="AD5" s="100">
        <v>14</v>
      </c>
      <c r="AE5" s="100">
        <v>15</v>
      </c>
      <c r="AF5" s="100">
        <v>16</v>
      </c>
      <c r="AG5" s="100">
        <v>21</v>
      </c>
      <c r="AH5" s="100">
        <v>22</v>
      </c>
      <c r="AI5" s="100">
        <v>23</v>
      </c>
      <c r="AJ5" s="100">
        <v>24</v>
      </c>
      <c r="AK5" s="100">
        <v>25</v>
      </c>
      <c r="AL5" s="100">
        <v>26</v>
      </c>
      <c r="AM5" s="100">
        <v>31</v>
      </c>
      <c r="AN5" s="100">
        <v>32</v>
      </c>
      <c r="AO5" s="100">
        <v>33</v>
      </c>
      <c r="AP5" s="100">
        <v>34</v>
      </c>
    </row>
    <row r="6" spans="1:25" s="10" customFormat="1" ht="13.5">
      <c r="A6" s="1"/>
      <c r="B6" s="20"/>
      <c r="C6" s="21"/>
      <c r="D6" s="46"/>
      <c r="E6" s="98">
        <f>IF(SUM(COUNTA($E$5:$T$5)-COUNTBLANK($E$5:$T$5))&lt;3,"",IF(E5&lt;&gt;AA4,"error",""))</f>
      </c>
      <c r="F6" s="98">
        <f aca="true" t="shared" si="1" ref="F6:T6">IF(SUM(COUNTA($E$5:$T$5)-COUNTBLANK($E$5:$T$5))&lt;3,"",IF(F5&lt;&gt;AB4,"error",""))</f>
      </c>
      <c r="G6" s="98">
        <f t="shared" si="1"/>
      </c>
      <c r="H6" s="98">
        <f t="shared" si="1"/>
      </c>
      <c r="I6" s="98">
        <f t="shared" si="1"/>
      </c>
      <c r="J6" s="98">
        <f t="shared" si="1"/>
      </c>
      <c r="K6" s="98">
        <f t="shared" si="1"/>
      </c>
      <c r="L6" s="98">
        <f t="shared" si="1"/>
      </c>
      <c r="M6" s="98">
        <f t="shared" si="1"/>
      </c>
      <c r="N6" s="98">
        <f t="shared" si="1"/>
      </c>
      <c r="O6" s="98">
        <f t="shared" si="1"/>
      </c>
      <c r="P6" s="98">
        <f t="shared" si="1"/>
      </c>
      <c r="Q6" s="98">
        <f t="shared" si="1"/>
      </c>
      <c r="R6" s="98">
        <f t="shared" si="1"/>
      </c>
      <c r="S6" s="98">
        <f t="shared" si="1"/>
      </c>
      <c r="T6" s="98">
        <f t="shared" si="1"/>
      </c>
      <c r="U6" s="21"/>
      <c r="V6" s="21"/>
      <c r="W6" s="21"/>
      <c r="X6" s="21"/>
      <c r="Y6" s="22"/>
    </row>
    <row r="7" spans="1:29" s="10" customFormat="1" ht="14.25" thickBot="1">
      <c r="A7" s="1"/>
      <c r="B7" s="20"/>
      <c r="C7" s="21"/>
      <c r="D7" s="46"/>
      <c r="E7" s="93">
        <f aca="true" t="shared" si="2" ref="E7:J7">IF(E6="err","é","")</f>
      </c>
      <c r="F7" s="93">
        <f t="shared" si="2"/>
      </c>
      <c r="G7" s="93">
        <f t="shared" si="2"/>
      </c>
      <c r="H7" s="93">
        <f t="shared" si="2"/>
      </c>
      <c r="I7" s="93">
        <f t="shared" si="2"/>
      </c>
      <c r="J7" s="93">
        <f t="shared" si="2"/>
      </c>
      <c r="K7" s="93">
        <f aca="true" t="shared" si="3" ref="K7:T7">IF(K6="err","é","")</f>
      </c>
      <c r="L7" s="93">
        <f t="shared" si="3"/>
      </c>
      <c r="M7" s="93">
        <f t="shared" si="3"/>
      </c>
      <c r="N7" s="93">
        <f t="shared" si="3"/>
      </c>
      <c r="O7" s="93">
        <f t="shared" si="3"/>
      </c>
      <c r="P7" s="93">
        <f t="shared" si="3"/>
      </c>
      <c r="Q7" s="93">
        <f t="shared" si="3"/>
      </c>
      <c r="R7" s="93">
        <f t="shared" si="3"/>
      </c>
      <c r="S7" s="93">
        <f t="shared" si="3"/>
      </c>
      <c r="T7" s="93">
        <f t="shared" si="3"/>
      </c>
      <c r="U7" s="21"/>
      <c r="V7" s="21"/>
      <c r="W7" s="21"/>
      <c r="X7" s="21"/>
      <c r="Y7" s="22"/>
      <c r="AA7" s="94">
        <f>COUNTA(E5:T5)-COUNTBLANK(E5:T5)</f>
        <v>0</v>
      </c>
      <c r="AC7" s="2"/>
    </row>
    <row r="8" spans="1:42" s="10" customFormat="1" ht="14.25" thickTop="1">
      <c r="A8" s="1"/>
      <c r="B8" s="20"/>
      <c r="C8" s="21"/>
      <c r="D8" s="46"/>
      <c r="U8" s="21"/>
      <c r="V8" s="21"/>
      <c r="W8" s="21"/>
      <c r="X8" s="21"/>
      <c r="Y8" s="22"/>
      <c r="AA8" s="95" t="e">
        <f ca="1">OFFSET(U10,MATCH(X1,X11:X70,0),0)</f>
        <v>#N/A</v>
      </c>
      <c r="AB8" s="96" t="e">
        <f>IF(AA7&gt;AA8,"too many crosses","")</f>
        <v>#N/A</v>
      </c>
      <c r="AC8" s="9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27" ht="13.5">
      <c r="A9"/>
      <c r="B9" s="26"/>
      <c r="C9" s="15"/>
      <c r="D9" s="33"/>
      <c r="U9" s="15"/>
      <c r="V9" s="15"/>
      <c r="W9" s="15"/>
      <c r="X9" s="15"/>
      <c r="Y9" s="16"/>
      <c r="AA9" s="2">
        <f>COUNTA($E$5:$T$5)</f>
        <v>16</v>
      </c>
    </row>
    <row r="10" spans="1:25" ht="12">
      <c r="A10"/>
      <c r="B10" s="26"/>
      <c r="C10" s="15"/>
      <c r="D10" s="15"/>
      <c r="E10" s="32">
        <f aca="true" t="shared" si="4" ref="E10:T10">IF(E5="x",AA5,"")</f>
      </c>
      <c r="F10" s="32">
        <f t="shared" si="4"/>
      </c>
      <c r="G10" s="32">
        <f t="shared" si="4"/>
      </c>
      <c r="H10" s="32">
        <f t="shared" si="4"/>
      </c>
      <c r="I10" s="32">
        <f t="shared" si="4"/>
      </c>
      <c r="J10" s="32">
        <f t="shared" si="4"/>
      </c>
      <c r="K10" s="32">
        <f t="shared" si="4"/>
      </c>
      <c r="L10" s="32">
        <f t="shared" si="4"/>
      </c>
      <c r="M10" s="32">
        <f t="shared" si="4"/>
      </c>
      <c r="N10" s="32">
        <f t="shared" si="4"/>
      </c>
      <c r="O10" s="32">
        <f t="shared" si="4"/>
      </c>
      <c r="P10" s="32">
        <f t="shared" si="4"/>
      </c>
      <c r="Q10" s="32">
        <f t="shared" si="4"/>
      </c>
      <c r="R10" s="32">
        <f t="shared" si="4"/>
      </c>
      <c r="S10" s="32">
        <f t="shared" si="4"/>
      </c>
      <c r="T10" s="32">
        <f t="shared" si="4"/>
      </c>
      <c r="U10" s="15"/>
      <c r="V10" s="15"/>
      <c r="W10" s="15"/>
      <c r="X10" s="15"/>
      <c r="Y10" s="16"/>
    </row>
    <row r="11" spans="2:30" ht="13.5">
      <c r="B11" s="34" t="s">
        <v>0</v>
      </c>
      <c r="C11" s="35" t="s">
        <v>7</v>
      </c>
      <c r="D11" s="35" t="s">
        <v>7</v>
      </c>
      <c r="E11" s="11">
        <f>IF(E$10=11,1,"")</f>
      </c>
      <c r="F11" s="12"/>
      <c r="G11" s="13"/>
      <c r="H11" s="18"/>
      <c r="I11" s="18"/>
      <c r="J11" s="19"/>
      <c r="K11" s="11">
        <f>IF(K$10=21,1,"")</f>
      </c>
      <c r="L11" s="12"/>
      <c r="M11" s="12"/>
      <c r="N11" s="13"/>
      <c r="O11" s="28"/>
      <c r="P11" s="13"/>
      <c r="Q11" s="11">
        <f>IF(Q$10=31,1,"")</f>
      </c>
      <c r="R11" s="12"/>
      <c r="S11" s="12"/>
      <c r="T11" s="12"/>
      <c r="U11" s="36">
        <f aca="true" t="shared" si="5" ref="U11:U70">SUM(E11:T11)</f>
        <v>0</v>
      </c>
      <c r="V11" s="15">
        <v>3</v>
      </c>
      <c r="W11" s="15" t="str">
        <f>CONCATENATE(B11,C11,D11)</f>
        <v>Axx</v>
      </c>
      <c r="X11" s="37">
        <f>IF(U11=V11,W11,"")</f>
      </c>
      <c r="Y11" s="38">
        <f>IF(X11="","",ROW()-10)</f>
      </c>
      <c r="AA11" s="212">
        <v>1</v>
      </c>
      <c r="AC11" s="214">
        <f>SUM(U11/V11)+AD11/100000</f>
        <v>0.0006</v>
      </c>
      <c r="AD11" s="2">
        <v>60</v>
      </c>
    </row>
    <row r="12" spans="2:30" ht="13.5">
      <c r="B12" s="34" t="s">
        <v>1</v>
      </c>
      <c r="C12" s="35" t="s">
        <v>7</v>
      </c>
      <c r="D12" s="35" t="s">
        <v>13</v>
      </c>
      <c r="E12" s="20"/>
      <c r="F12" s="15"/>
      <c r="G12" s="24">
        <f>IF(G$10=13,1,"")</f>
      </c>
      <c r="H12" s="21"/>
      <c r="I12" s="21"/>
      <c r="J12" s="22"/>
      <c r="K12" s="14">
        <f>IF(K$10=21,1,"")</f>
      </c>
      <c r="L12" s="15"/>
      <c r="M12" s="15"/>
      <c r="N12" s="16"/>
      <c r="O12" s="26"/>
      <c r="P12" s="16"/>
      <c r="Q12" s="26"/>
      <c r="R12" s="23">
        <f>IF(R$10=32,1,"")</f>
      </c>
      <c r="S12" s="15"/>
      <c r="T12" s="15"/>
      <c r="U12" s="36">
        <f t="shared" si="5"/>
        <v>0</v>
      </c>
      <c r="V12" s="15">
        <v>3</v>
      </c>
      <c r="W12" s="15" t="str">
        <f aca="true" t="shared" si="6" ref="W12:W70">CONCATENATE(B12,C12,D12)</f>
        <v>Bxo</v>
      </c>
      <c r="X12" s="37">
        <f aca="true" t="shared" si="7" ref="X12:X70">IF(U12=V12,W12,"")</f>
      </c>
      <c r="Y12" s="38">
        <f aca="true" t="shared" si="8" ref="Y12:Y70">IF(X12="","",ROW()-10)</f>
      </c>
      <c r="AA12" s="212">
        <v>2</v>
      </c>
      <c r="AC12" s="214">
        <f aca="true" t="shared" si="9" ref="AC12:AC70">SUM(U12/V12)+AD12/100000</f>
        <v>0.00059</v>
      </c>
      <c r="AD12" s="2">
        <f>AD11-1</f>
        <v>59</v>
      </c>
    </row>
    <row r="13" spans="2:30" ht="13.5">
      <c r="B13" s="34" t="s">
        <v>1</v>
      </c>
      <c r="C13" s="35" t="s">
        <v>7</v>
      </c>
      <c r="D13" s="35" t="s">
        <v>14</v>
      </c>
      <c r="E13" s="20"/>
      <c r="F13" s="15"/>
      <c r="G13" s="24">
        <f>IF(G$10=13,1,"")</f>
      </c>
      <c r="H13" s="21"/>
      <c r="I13" s="21"/>
      <c r="J13" s="22"/>
      <c r="K13" s="14">
        <f>IF(K$10=21,1,"")</f>
      </c>
      <c r="L13" s="15"/>
      <c r="M13" s="15"/>
      <c r="N13" s="16"/>
      <c r="O13" s="26"/>
      <c r="P13" s="16"/>
      <c r="Q13" s="26"/>
      <c r="R13" s="15"/>
      <c r="S13" s="23">
        <f>IF(S$10=33,1,"")</f>
      </c>
      <c r="T13" s="15"/>
      <c r="U13" s="36">
        <f t="shared" si="5"/>
        <v>0</v>
      </c>
      <c r="V13" s="15">
        <v>3</v>
      </c>
      <c r="W13" s="15" t="str">
        <f t="shared" si="6"/>
        <v>Bxi</v>
      </c>
      <c r="X13" s="37">
        <f t="shared" si="7"/>
      </c>
      <c r="Y13" s="38">
        <f t="shared" si="8"/>
      </c>
      <c r="AA13" s="212">
        <v>3</v>
      </c>
      <c r="AC13" s="214">
        <f t="shared" si="9"/>
        <v>0.00058</v>
      </c>
      <c r="AD13" s="2">
        <f aca="true" t="shared" si="10" ref="AD13:AD70">AD12-1</f>
        <v>58</v>
      </c>
    </row>
    <row r="14" spans="2:30" ht="13.5">
      <c r="B14" s="34" t="s">
        <v>6</v>
      </c>
      <c r="C14" s="35" t="s">
        <v>8</v>
      </c>
      <c r="D14" s="35" t="s">
        <v>7</v>
      </c>
      <c r="E14" s="14">
        <f>IF(E$10=11,1,"")</f>
      </c>
      <c r="F14" s="15"/>
      <c r="G14" s="16"/>
      <c r="H14" s="21"/>
      <c r="I14" s="21"/>
      <c r="J14" s="22"/>
      <c r="K14" s="26"/>
      <c r="L14" s="23">
        <f>IF(L$10=22,1,"")</f>
      </c>
      <c r="M14" s="15"/>
      <c r="N14" s="16"/>
      <c r="O14" s="26"/>
      <c r="P14" s="16"/>
      <c r="Q14" s="14">
        <f>IF(Q$10=31,1,"")</f>
      </c>
      <c r="R14" s="15"/>
      <c r="S14" s="15"/>
      <c r="T14" s="15"/>
      <c r="U14" s="36">
        <f t="shared" si="5"/>
        <v>0</v>
      </c>
      <c r="V14" s="15">
        <v>3</v>
      </c>
      <c r="W14" s="15" t="str">
        <f t="shared" si="6"/>
        <v>Hrx</v>
      </c>
      <c r="X14" s="37">
        <f t="shared" si="7"/>
      </c>
      <c r="Y14" s="38">
        <f t="shared" si="8"/>
      </c>
      <c r="AA14" s="212">
        <v>4</v>
      </c>
      <c r="AC14" s="214">
        <f t="shared" si="9"/>
        <v>0.00057</v>
      </c>
      <c r="AD14" s="2">
        <f t="shared" si="10"/>
        <v>57</v>
      </c>
    </row>
    <row r="15" spans="2:30" ht="13.5">
      <c r="B15" s="34" t="s">
        <v>2</v>
      </c>
      <c r="C15" s="35" t="s">
        <v>8</v>
      </c>
      <c r="D15" s="35" t="s">
        <v>13</v>
      </c>
      <c r="E15" s="20"/>
      <c r="F15" s="23">
        <f>IF(F$10=12,1,"")</f>
      </c>
      <c r="G15" s="16"/>
      <c r="H15" s="21"/>
      <c r="I15" s="21"/>
      <c r="J15" s="22"/>
      <c r="K15" s="26"/>
      <c r="L15" s="23">
        <f>IF(L$10=22,1,"")</f>
      </c>
      <c r="M15" s="15"/>
      <c r="N15" s="16"/>
      <c r="O15" s="26"/>
      <c r="P15" s="16"/>
      <c r="Q15" s="26"/>
      <c r="R15" s="23">
        <f>IF(R$10=32,1,"")</f>
      </c>
      <c r="S15" s="15"/>
      <c r="T15" s="15"/>
      <c r="U15" s="36">
        <f t="shared" si="5"/>
        <v>0</v>
      </c>
      <c r="V15" s="15">
        <v>3</v>
      </c>
      <c r="W15" s="15" t="str">
        <f t="shared" si="6"/>
        <v>Cro</v>
      </c>
      <c r="X15" s="37">
        <f t="shared" si="7"/>
      </c>
      <c r="Y15" s="38">
        <f t="shared" si="8"/>
      </c>
      <c r="AA15" s="212">
        <v>5</v>
      </c>
      <c r="AC15" s="214">
        <f t="shared" si="9"/>
        <v>0.00056</v>
      </c>
      <c r="AD15" s="2">
        <f t="shared" si="10"/>
        <v>56</v>
      </c>
    </row>
    <row r="16" spans="2:30" ht="13.5">
      <c r="B16" s="34" t="s">
        <v>2</v>
      </c>
      <c r="C16" s="35" t="s">
        <v>8</v>
      </c>
      <c r="D16" s="35" t="s">
        <v>14</v>
      </c>
      <c r="E16" s="20"/>
      <c r="F16" s="23">
        <f>IF(F$10=12,1,"")</f>
      </c>
      <c r="G16" s="16"/>
      <c r="H16" s="21"/>
      <c r="I16" s="21"/>
      <c r="J16" s="22"/>
      <c r="K16" s="26"/>
      <c r="L16" s="23">
        <f>IF(L$10=22,1,"")</f>
      </c>
      <c r="M16" s="15"/>
      <c r="N16" s="16"/>
      <c r="O16" s="26"/>
      <c r="P16" s="16"/>
      <c r="Q16" s="26"/>
      <c r="R16" s="15"/>
      <c r="S16" s="23">
        <f>IF(S$10=33,1,"")</f>
      </c>
      <c r="T16" s="15"/>
      <c r="U16" s="36">
        <f t="shared" si="5"/>
        <v>0</v>
      </c>
      <c r="V16" s="15">
        <v>3</v>
      </c>
      <c r="W16" s="15" t="str">
        <f t="shared" si="6"/>
        <v>Cri</v>
      </c>
      <c r="X16" s="37">
        <f t="shared" si="7"/>
      </c>
      <c r="Y16" s="38">
        <f t="shared" si="8"/>
      </c>
      <c r="AA16" s="212">
        <v>6</v>
      </c>
      <c r="AC16" s="214">
        <f t="shared" si="9"/>
        <v>0.00055</v>
      </c>
      <c r="AD16" s="2">
        <f t="shared" si="10"/>
        <v>55</v>
      </c>
    </row>
    <row r="17" spans="2:30" ht="13.5">
      <c r="B17" s="34" t="s">
        <v>6</v>
      </c>
      <c r="C17" s="35" t="s">
        <v>9</v>
      </c>
      <c r="D17" s="35" t="s">
        <v>7</v>
      </c>
      <c r="E17" s="14">
        <f>IF(E$10=11,1,"")</f>
      </c>
      <c r="F17" s="15"/>
      <c r="G17" s="16"/>
      <c r="H17" s="21"/>
      <c r="I17" s="21"/>
      <c r="J17" s="22"/>
      <c r="K17" s="26"/>
      <c r="L17" s="15"/>
      <c r="M17" s="23">
        <f>IF(M$10=23,1,"")</f>
      </c>
      <c r="N17" s="16"/>
      <c r="O17" s="14">
        <f aca="true" t="shared" si="11" ref="O17:O22">IF(O$10=25,1,"")</f>
      </c>
      <c r="P17" s="16"/>
      <c r="Q17" s="14">
        <f>IF(Q$10=31,1,"")</f>
      </c>
      <c r="R17" s="15"/>
      <c r="S17" s="15"/>
      <c r="T17" s="15"/>
      <c r="U17" s="36">
        <f t="shared" si="5"/>
        <v>0</v>
      </c>
      <c r="V17" s="15">
        <v>4</v>
      </c>
      <c r="W17" s="15" t="str">
        <f t="shared" si="6"/>
        <v>Hax</v>
      </c>
      <c r="X17" s="37">
        <f t="shared" si="7"/>
      </c>
      <c r="Y17" s="38">
        <f t="shared" si="8"/>
      </c>
      <c r="AA17" s="212">
        <v>7</v>
      </c>
      <c r="AC17" s="214">
        <f t="shared" si="9"/>
        <v>0.00054</v>
      </c>
      <c r="AD17" s="2">
        <f t="shared" si="10"/>
        <v>54</v>
      </c>
    </row>
    <row r="18" spans="2:30" ht="13.5">
      <c r="B18" s="34" t="s">
        <v>2</v>
      </c>
      <c r="C18" s="35" t="s">
        <v>9</v>
      </c>
      <c r="D18" s="35" t="s">
        <v>13</v>
      </c>
      <c r="E18" s="20"/>
      <c r="F18" s="23">
        <f>IF(F$10=12,1,"")</f>
      </c>
      <c r="G18" s="16"/>
      <c r="H18" s="21"/>
      <c r="I18" s="21"/>
      <c r="J18" s="22"/>
      <c r="K18" s="26"/>
      <c r="L18" s="15"/>
      <c r="M18" s="23">
        <f>IF(M$10=23,1,"")</f>
      </c>
      <c r="N18" s="16"/>
      <c r="O18" s="14">
        <f t="shared" si="11"/>
      </c>
      <c r="P18" s="16"/>
      <c r="Q18" s="26"/>
      <c r="R18" s="23">
        <f>IF(R$10=32,1,"")</f>
      </c>
      <c r="S18" s="15"/>
      <c r="T18" s="15"/>
      <c r="U18" s="36">
        <f t="shared" si="5"/>
        <v>0</v>
      </c>
      <c r="V18" s="15">
        <v>4</v>
      </c>
      <c r="W18" s="15" t="str">
        <f t="shared" si="6"/>
        <v>Cao</v>
      </c>
      <c r="X18" s="37">
        <f t="shared" si="7"/>
      </c>
      <c r="Y18" s="38">
        <f t="shared" si="8"/>
      </c>
      <c r="AA18" s="212">
        <v>8</v>
      </c>
      <c r="AC18" s="214">
        <f t="shared" si="9"/>
        <v>0.00053</v>
      </c>
      <c r="AD18" s="2">
        <f t="shared" si="10"/>
        <v>53</v>
      </c>
    </row>
    <row r="19" spans="2:30" ht="13.5">
      <c r="B19" s="34" t="s">
        <v>2</v>
      </c>
      <c r="C19" s="35" t="s">
        <v>9</v>
      </c>
      <c r="D19" s="35" t="s">
        <v>14</v>
      </c>
      <c r="E19" s="20"/>
      <c r="F19" s="23">
        <f>IF(F$10=12,1,"")</f>
      </c>
      <c r="G19" s="16"/>
      <c r="H19" s="21"/>
      <c r="I19" s="21"/>
      <c r="J19" s="22"/>
      <c r="K19" s="26"/>
      <c r="L19" s="15"/>
      <c r="M19" s="23">
        <f>IF(M$10=23,1,"")</f>
      </c>
      <c r="N19" s="16"/>
      <c r="O19" s="14">
        <f t="shared" si="11"/>
      </c>
      <c r="P19" s="16"/>
      <c r="Q19" s="26"/>
      <c r="R19" s="15"/>
      <c r="S19" s="23">
        <f>IF(S$10=33,1,"")</f>
      </c>
      <c r="T19" s="15"/>
      <c r="U19" s="36">
        <f t="shared" si="5"/>
        <v>0</v>
      </c>
      <c r="V19" s="15">
        <v>4</v>
      </c>
      <c r="W19" s="15" t="str">
        <f t="shared" si="6"/>
        <v>Cai</v>
      </c>
      <c r="X19" s="37">
        <f t="shared" si="7"/>
      </c>
      <c r="Y19" s="38">
        <f t="shared" si="8"/>
      </c>
      <c r="AA19" s="212">
        <v>9</v>
      </c>
      <c r="AC19" s="214">
        <f t="shared" si="9"/>
        <v>0.00052</v>
      </c>
      <c r="AD19" s="2">
        <f t="shared" si="10"/>
        <v>52</v>
      </c>
    </row>
    <row r="20" spans="2:30" ht="13.5">
      <c r="B20" s="34" t="s">
        <v>6</v>
      </c>
      <c r="C20" s="35" t="s">
        <v>10</v>
      </c>
      <c r="D20" s="35" t="s">
        <v>7</v>
      </c>
      <c r="E20" s="14">
        <f>IF(E$10=11,1,"")</f>
      </c>
      <c r="F20" s="15"/>
      <c r="G20" s="16"/>
      <c r="H20" s="21"/>
      <c r="I20" s="21"/>
      <c r="J20" s="22"/>
      <c r="K20" s="26"/>
      <c r="L20" s="15"/>
      <c r="M20" s="15"/>
      <c r="N20" s="24">
        <f>IF(N$10=24,1,"")</f>
      </c>
      <c r="O20" s="14">
        <f t="shared" si="11"/>
      </c>
      <c r="P20" s="16"/>
      <c r="Q20" s="14">
        <f>IF(Q$10=31,1,"")</f>
      </c>
      <c r="R20" s="15"/>
      <c r="S20" s="15"/>
      <c r="T20" s="15"/>
      <c r="U20" s="36">
        <f t="shared" si="5"/>
        <v>0</v>
      </c>
      <c r="V20" s="15">
        <v>4</v>
      </c>
      <c r="W20" s="15" t="str">
        <f t="shared" si="6"/>
        <v>Hsx</v>
      </c>
      <c r="X20" s="37">
        <f t="shared" si="7"/>
      </c>
      <c r="Y20" s="38">
        <f t="shared" si="8"/>
      </c>
      <c r="AA20" s="212">
        <v>10</v>
      </c>
      <c r="AC20" s="214">
        <f t="shared" si="9"/>
        <v>0.00051</v>
      </c>
      <c r="AD20" s="2">
        <f t="shared" si="10"/>
        <v>51</v>
      </c>
    </row>
    <row r="21" spans="2:30" ht="13.5">
      <c r="B21" s="34" t="s">
        <v>2</v>
      </c>
      <c r="C21" s="35" t="s">
        <v>10</v>
      </c>
      <c r="D21" s="35" t="s">
        <v>13</v>
      </c>
      <c r="E21" s="20"/>
      <c r="F21" s="23">
        <f>IF(F$10=12,1,"")</f>
      </c>
      <c r="G21" s="16"/>
      <c r="H21" s="21"/>
      <c r="I21" s="21"/>
      <c r="J21" s="22"/>
      <c r="K21" s="26"/>
      <c r="L21" s="15"/>
      <c r="M21" s="15"/>
      <c r="N21" s="24">
        <f>IF(N$10=24,1,"")</f>
      </c>
      <c r="O21" s="14">
        <f t="shared" si="11"/>
      </c>
      <c r="P21" s="16"/>
      <c r="Q21" s="26"/>
      <c r="R21" s="23">
        <f>IF(R$10=32,1,"")</f>
      </c>
      <c r="S21" s="15"/>
      <c r="T21" s="15"/>
      <c r="U21" s="36">
        <f t="shared" si="5"/>
        <v>0</v>
      </c>
      <c r="V21" s="15">
        <v>4</v>
      </c>
      <c r="W21" s="15" t="str">
        <f t="shared" si="6"/>
        <v>Cso</v>
      </c>
      <c r="X21" s="37">
        <f t="shared" si="7"/>
      </c>
      <c r="Y21" s="38">
        <f t="shared" si="8"/>
      </c>
      <c r="AA21" s="212">
        <v>11</v>
      </c>
      <c r="AC21" s="214">
        <f t="shared" si="9"/>
        <v>0.0005</v>
      </c>
      <c r="AD21" s="2">
        <f t="shared" si="10"/>
        <v>50</v>
      </c>
    </row>
    <row r="22" spans="2:30" ht="13.5">
      <c r="B22" s="34" t="s">
        <v>2</v>
      </c>
      <c r="C22" s="35" t="s">
        <v>10</v>
      </c>
      <c r="D22" s="35" t="s">
        <v>14</v>
      </c>
      <c r="E22" s="20"/>
      <c r="F22" s="23">
        <f>IF(F$10=12,1,"")</f>
      </c>
      <c r="G22" s="16"/>
      <c r="H22" s="21"/>
      <c r="I22" s="21"/>
      <c r="J22" s="22"/>
      <c r="K22" s="26"/>
      <c r="L22" s="15"/>
      <c r="M22" s="15"/>
      <c r="N22" s="24">
        <f>IF(N$10=24,1,"")</f>
      </c>
      <c r="O22" s="14">
        <f t="shared" si="11"/>
      </c>
      <c r="P22" s="16"/>
      <c r="Q22" s="26"/>
      <c r="R22" s="15"/>
      <c r="S22" s="23">
        <f>IF(S$10=33,1,"")</f>
      </c>
      <c r="T22" s="15"/>
      <c r="U22" s="36">
        <f t="shared" si="5"/>
        <v>0</v>
      </c>
      <c r="V22" s="15">
        <v>4</v>
      </c>
      <c r="W22" s="15" t="str">
        <f t="shared" si="6"/>
        <v>Csi</v>
      </c>
      <c r="X22" s="37">
        <f t="shared" si="7"/>
      </c>
      <c r="Y22" s="38">
        <f t="shared" si="8"/>
      </c>
      <c r="AA22" s="212">
        <v>12</v>
      </c>
      <c r="AC22" s="214">
        <f t="shared" si="9"/>
        <v>0.00049</v>
      </c>
      <c r="AD22" s="2">
        <f t="shared" si="10"/>
        <v>49</v>
      </c>
    </row>
    <row r="23" spans="2:30" ht="13.5">
      <c r="B23" s="34" t="s">
        <v>3</v>
      </c>
      <c r="C23" s="35" t="s">
        <v>8</v>
      </c>
      <c r="D23" s="35" t="s">
        <v>13</v>
      </c>
      <c r="E23" s="20"/>
      <c r="F23" s="15"/>
      <c r="G23" s="24">
        <f>IF(G$10=13,1,"")</f>
      </c>
      <c r="H23" s="23">
        <f>IF(H$10=14,1,"")</f>
      </c>
      <c r="I23" s="21"/>
      <c r="J23" s="22"/>
      <c r="K23" s="26"/>
      <c r="L23" s="23">
        <f aca="true" t="shared" si="12" ref="L23:L28">IF(L$10=22,1,"")</f>
      </c>
      <c r="M23" s="15"/>
      <c r="N23" s="16"/>
      <c r="O23" s="26"/>
      <c r="P23" s="16"/>
      <c r="Q23" s="26"/>
      <c r="R23" s="23">
        <f>IF(R$10=32,1,"")</f>
      </c>
      <c r="S23" s="15"/>
      <c r="T23" s="15"/>
      <c r="U23" s="36">
        <f t="shared" si="5"/>
        <v>0</v>
      </c>
      <c r="V23" s="15">
        <v>4</v>
      </c>
      <c r="W23" s="15" t="str">
        <f t="shared" si="6"/>
        <v>Dro</v>
      </c>
      <c r="X23" s="37">
        <f t="shared" si="7"/>
      </c>
      <c r="Y23" s="38">
        <f t="shared" si="8"/>
      </c>
      <c r="AA23" s="212">
        <v>13</v>
      </c>
      <c r="AC23" s="214">
        <f t="shared" si="9"/>
        <v>0.00048</v>
      </c>
      <c r="AD23" s="2">
        <f t="shared" si="10"/>
        <v>48</v>
      </c>
    </row>
    <row r="24" spans="2:30" ht="13.5">
      <c r="B24" s="34" t="s">
        <v>4</v>
      </c>
      <c r="C24" s="35" t="s">
        <v>8</v>
      </c>
      <c r="D24" s="35" t="s">
        <v>13</v>
      </c>
      <c r="E24" s="20"/>
      <c r="F24" s="15"/>
      <c r="G24" s="24">
        <f aca="true" t="shared" si="13" ref="G24:G46">IF(G$10=13,1,"")</f>
      </c>
      <c r="H24" s="21"/>
      <c r="I24" s="23">
        <f>IF(I$10=15,1,"")</f>
      </c>
      <c r="J24" s="22"/>
      <c r="K24" s="26"/>
      <c r="L24" s="23">
        <f t="shared" si="12"/>
      </c>
      <c r="M24" s="15"/>
      <c r="N24" s="16"/>
      <c r="O24" s="26"/>
      <c r="P24" s="16"/>
      <c r="Q24" s="26"/>
      <c r="R24" s="23">
        <f>IF(R$10=32,1,"")</f>
      </c>
      <c r="S24" s="15"/>
      <c r="T24" s="15"/>
      <c r="U24" s="36">
        <f t="shared" si="5"/>
        <v>0</v>
      </c>
      <c r="V24" s="15">
        <v>4</v>
      </c>
      <c r="W24" s="15" t="str">
        <f t="shared" si="6"/>
        <v>Ero</v>
      </c>
      <c r="X24" s="37">
        <f t="shared" si="7"/>
      </c>
      <c r="Y24" s="38">
        <f t="shared" si="8"/>
      </c>
      <c r="AA24" s="212">
        <v>14</v>
      </c>
      <c r="AC24" s="214">
        <f t="shared" si="9"/>
        <v>0.00047</v>
      </c>
      <c r="AD24" s="2">
        <f t="shared" si="10"/>
        <v>47</v>
      </c>
    </row>
    <row r="25" spans="2:30" ht="13.5">
      <c r="B25" s="34" t="s">
        <v>5</v>
      </c>
      <c r="C25" s="35" t="s">
        <v>8</v>
      </c>
      <c r="D25" s="35" t="s">
        <v>13</v>
      </c>
      <c r="E25" s="20"/>
      <c r="F25" s="15"/>
      <c r="G25" s="24">
        <f t="shared" si="13"/>
      </c>
      <c r="H25" s="21"/>
      <c r="I25" s="21"/>
      <c r="J25" s="24">
        <f>IF(J$10=16,1,"")</f>
      </c>
      <c r="K25" s="26"/>
      <c r="L25" s="23">
        <f t="shared" si="12"/>
      </c>
      <c r="M25" s="15"/>
      <c r="N25" s="16"/>
      <c r="O25" s="26"/>
      <c r="P25" s="16"/>
      <c r="Q25" s="26"/>
      <c r="R25" s="23">
        <f>IF(R$10=32,1,"")</f>
      </c>
      <c r="S25" s="15"/>
      <c r="T25" s="15"/>
      <c r="U25" s="36">
        <f t="shared" si="5"/>
        <v>0</v>
      </c>
      <c r="V25" s="15">
        <v>4</v>
      </c>
      <c r="W25" s="15" t="str">
        <f t="shared" si="6"/>
        <v>Fro</v>
      </c>
      <c r="X25" s="37">
        <f t="shared" si="7"/>
      </c>
      <c r="Y25" s="38">
        <f t="shared" si="8"/>
      </c>
      <c r="AA25" s="212">
        <v>15</v>
      </c>
      <c r="AC25" s="214">
        <f t="shared" si="9"/>
        <v>0.00046</v>
      </c>
      <c r="AD25" s="2">
        <f t="shared" si="10"/>
        <v>46</v>
      </c>
    </row>
    <row r="26" spans="2:30" ht="13.5">
      <c r="B26" s="34" t="s">
        <v>3</v>
      </c>
      <c r="C26" s="35" t="s">
        <v>8</v>
      </c>
      <c r="D26" s="35" t="s">
        <v>14</v>
      </c>
      <c r="E26" s="20"/>
      <c r="F26" s="15"/>
      <c r="G26" s="24">
        <f t="shared" si="13"/>
      </c>
      <c r="H26" s="23">
        <f>IF(H$10=14,1,"")</f>
      </c>
      <c r="I26" s="21"/>
      <c r="J26" s="22"/>
      <c r="K26" s="26"/>
      <c r="L26" s="23">
        <f t="shared" si="12"/>
      </c>
      <c r="M26" s="15"/>
      <c r="N26" s="16"/>
      <c r="O26" s="26"/>
      <c r="P26" s="16"/>
      <c r="Q26" s="26"/>
      <c r="R26" s="15"/>
      <c r="S26" s="23">
        <f>IF(S$10=33,1,"")</f>
      </c>
      <c r="T26" s="15"/>
      <c r="U26" s="36">
        <f t="shared" si="5"/>
        <v>0</v>
      </c>
      <c r="V26" s="15">
        <v>4</v>
      </c>
      <c r="W26" s="15" t="str">
        <f t="shared" si="6"/>
        <v>Dri</v>
      </c>
      <c r="X26" s="37">
        <f t="shared" si="7"/>
      </c>
      <c r="Y26" s="38">
        <f t="shared" si="8"/>
      </c>
      <c r="AA26" s="212">
        <v>16</v>
      </c>
      <c r="AC26" s="214">
        <f t="shared" si="9"/>
        <v>0.00045</v>
      </c>
      <c r="AD26" s="2">
        <f t="shared" si="10"/>
        <v>45</v>
      </c>
    </row>
    <row r="27" spans="2:30" ht="13.5">
      <c r="B27" s="34" t="s">
        <v>4</v>
      </c>
      <c r="C27" s="35" t="s">
        <v>8</v>
      </c>
      <c r="D27" s="35" t="s">
        <v>14</v>
      </c>
      <c r="E27" s="20"/>
      <c r="F27" s="15"/>
      <c r="G27" s="24">
        <f t="shared" si="13"/>
      </c>
      <c r="H27" s="21"/>
      <c r="I27" s="23">
        <f>IF(I$10=15,1,"")</f>
      </c>
      <c r="J27" s="22"/>
      <c r="K27" s="26"/>
      <c r="L27" s="23">
        <f t="shared" si="12"/>
      </c>
      <c r="M27" s="15"/>
      <c r="N27" s="16"/>
      <c r="O27" s="26"/>
      <c r="P27" s="16"/>
      <c r="Q27" s="26"/>
      <c r="R27" s="15"/>
      <c r="S27" s="23">
        <f>IF(S$10=33,1,"")</f>
      </c>
      <c r="T27" s="15"/>
      <c r="U27" s="36">
        <f t="shared" si="5"/>
        <v>0</v>
      </c>
      <c r="V27" s="15">
        <v>4</v>
      </c>
      <c r="W27" s="15" t="str">
        <f t="shared" si="6"/>
        <v>Eri</v>
      </c>
      <c r="X27" s="37">
        <f t="shared" si="7"/>
      </c>
      <c r="Y27" s="38">
        <f t="shared" si="8"/>
      </c>
      <c r="AC27" s="214">
        <f t="shared" si="9"/>
        <v>0.00044</v>
      </c>
      <c r="AD27" s="2">
        <f t="shared" si="10"/>
        <v>44</v>
      </c>
    </row>
    <row r="28" spans="2:30" ht="13.5">
      <c r="B28" s="34" t="s">
        <v>5</v>
      </c>
      <c r="C28" s="35" t="s">
        <v>8</v>
      </c>
      <c r="D28" s="35" t="s">
        <v>14</v>
      </c>
      <c r="E28" s="20"/>
      <c r="F28" s="15"/>
      <c r="G28" s="24">
        <f t="shared" si="13"/>
      </c>
      <c r="H28" s="21"/>
      <c r="I28" s="21"/>
      <c r="J28" s="24">
        <f>IF(J$10=16,1,"")</f>
      </c>
      <c r="K28" s="26"/>
      <c r="L28" s="23">
        <f t="shared" si="12"/>
      </c>
      <c r="M28" s="15"/>
      <c r="N28" s="16"/>
      <c r="O28" s="26"/>
      <c r="P28" s="16"/>
      <c r="Q28" s="26"/>
      <c r="R28" s="15"/>
      <c r="S28" s="23">
        <f>IF(S$10=33,1,"")</f>
      </c>
      <c r="T28" s="15"/>
      <c r="U28" s="36">
        <f t="shared" si="5"/>
        <v>0</v>
      </c>
      <c r="V28" s="15">
        <v>4</v>
      </c>
      <c r="W28" s="15" t="str">
        <f t="shared" si="6"/>
        <v>Fri</v>
      </c>
      <c r="X28" s="37">
        <f t="shared" si="7"/>
      </c>
      <c r="Y28" s="38">
        <f t="shared" si="8"/>
      </c>
      <c r="AC28" s="214">
        <f t="shared" si="9"/>
        <v>0.00043</v>
      </c>
      <c r="AD28" s="2">
        <f t="shared" si="10"/>
        <v>43</v>
      </c>
    </row>
    <row r="29" spans="2:30" ht="13.5">
      <c r="B29" s="34" t="s">
        <v>3</v>
      </c>
      <c r="C29" s="35" t="s">
        <v>9</v>
      </c>
      <c r="D29" s="35" t="s">
        <v>13</v>
      </c>
      <c r="E29" s="20"/>
      <c r="F29" s="15"/>
      <c r="G29" s="24">
        <f t="shared" si="13"/>
      </c>
      <c r="H29" s="23">
        <f>IF(H$10=14,1,"")</f>
      </c>
      <c r="I29" s="21"/>
      <c r="J29" s="22"/>
      <c r="K29" s="26"/>
      <c r="L29" s="15"/>
      <c r="M29" s="23">
        <f aca="true" t="shared" si="14" ref="M29:M34">IF(M$10=23,1,"")</f>
      </c>
      <c r="N29" s="16"/>
      <c r="O29" s="14">
        <f aca="true" t="shared" si="15" ref="O29:O46">IF(O$10=25,1,"")</f>
      </c>
      <c r="P29" s="16"/>
      <c r="Q29" s="26"/>
      <c r="R29" s="23">
        <f>IF(R$10=32,1,"")</f>
      </c>
      <c r="S29" s="15"/>
      <c r="T29" s="15"/>
      <c r="U29" s="36">
        <f t="shared" si="5"/>
        <v>0</v>
      </c>
      <c r="V29" s="15">
        <v>5</v>
      </c>
      <c r="W29" s="15" t="str">
        <f t="shared" si="6"/>
        <v>Dao</v>
      </c>
      <c r="X29" s="37">
        <f t="shared" si="7"/>
      </c>
      <c r="Y29" s="38">
        <f t="shared" si="8"/>
      </c>
      <c r="AC29" s="214">
        <f t="shared" si="9"/>
        <v>0.00042</v>
      </c>
      <c r="AD29" s="2">
        <f t="shared" si="10"/>
        <v>42</v>
      </c>
    </row>
    <row r="30" spans="2:30" ht="13.5">
      <c r="B30" s="34" t="s">
        <v>4</v>
      </c>
      <c r="C30" s="35" t="s">
        <v>9</v>
      </c>
      <c r="D30" s="35" t="s">
        <v>13</v>
      </c>
      <c r="E30" s="20"/>
      <c r="F30" s="15"/>
      <c r="G30" s="24">
        <f t="shared" si="13"/>
      </c>
      <c r="H30" s="21"/>
      <c r="I30" s="23">
        <f>IF(I$10=15,1,"")</f>
      </c>
      <c r="J30" s="22"/>
      <c r="K30" s="26"/>
      <c r="L30" s="15"/>
      <c r="M30" s="23">
        <f t="shared" si="14"/>
      </c>
      <c r="N30" s="16"/>
      <c r="O30" s="14">
        <f t="shared" si="15"/>
      </c>
      <c r="P30" s="16"/>
      <c r="Q30" s="26"/>
      <c r="R30" s="23">
        <f>IF(R$10=32,1,"")</f>
      </c>
      <c r="S30" s="15"/>
      <c r="T30" s="15"/>
      <c r="U30" s="36">
        <f t="shared" si="5"/>
        <v>0</v>
      </c>
      <c r="V30" s="15">
        <v>5</v>
      </c>
      <c r="W30" s="15" t="str">
        <f t="shared" si="6"/>
        <v>Eao</v>
      </c>
      <c r="X30" s="37">
        <f t="shared" si="7"/>
      </c>
      <c r="Y30" s="38">
        <f t="shared" si="8"/>
      </c>
      <c r="AC30" s="214">
        <f t="shared" si="9"/>
        <v>0.00041</v>
      </c>
      <c r="AD30" s="2">
        <f t="shared" si="10"/>
        <v>41</v>
      </c>
    </row>
    <row r="31" spans="1:30" ht="13.5">
      <c r="A31" s="3"/>
      <c r="B31" s="34" t="s">
        <v>5</v>
      </c>
      <c r="C31" s="35" t="s">
        <v>9</v>
      </c>
      <c r="D31" s="35" t="s">
        <v>13</v>
      </c>
      <c r="E31" s="20"/>
      <c r="F31" s="15"/>
      <c r="G31" s="24">
        <f t="shared" si="13"/>
      </c>
      <c r="H31" s="21"/>
      <c r="I31" s="21"/>
      <c r="J31" s="24">
        <f>IF(J$10=16,1,"")</f>
      </c>
      <c r="K31" s="26"/>
      <c r="L31" s="15"/>
      <c r="M31" s="23">
        <f t="shared" si="14"/>
      </c>
      <c r="N31" s="16"/>
      <c r="O31" s="14">
        <f t="shared" si="15"/>
      </c>
      <c r="P31" s="16"/>
      <c r="Q31" s="26"/>
      <c r="R31" s="23">
        <f>IF(R$10=32,1,"")</f>
      </c>
      <c r="S31" s="15"/>
      <c r="T31" s="15"/>
      <c r="U31" s="36">
        <f t="shared" si="5"/>
        <v>0</v>
      </c>
      <c r="V31" s="15">
        <v>5</v>
      </c>
      <c r="W31" s="15" t="str">
        <f t="shared" si="6"/>
        <v>Fao</v>
      </c>
      <c r="X31" s="37">
        <f t="shared" si="7"/>
      </c>
      <c r="Y31" s="38">
        <f t="shared" si="8"/>
      </c>
      <c r="AC31" s="214">
        <f t="shared" si="9"/>
        <v>0.0004</v>
      </c>
      <c r="AD31" s="2">
        <f t="shared" si="10"/>
        <v>40</v>
      </c>
    </row>
    <row r="32" spans="1:30" ht="13.5">
      <c r="A32" s="3"/>
      <c r="B32" s="34" t="s">
        <v>3</v>
      </c>
      <c r="C32" s="35" t="s">
        <v>9</v>
      </c>
      <c r="D32" s="35" t="s">
        <v>14</v>
      </c>
      <c r="E32" s="20"/>
      <c r="F32" s="15"/>
      <c r="G32" s="24">
        <f t="shared" si="13"/>
      </c>
      <c r="H32" s="23">
        <f>IF(H$10=14,1,"")</f>
      </c>
      <c r="I32" s="21"/>
      <c r="J32" s="22"/>
      <c r="K32" s="26"/>
      <c r="L32" s="15"/>
      <c r="M32" s="23">
        <f t="shared" si="14"/>
      </c>
      <c r="N32" s="16"/>
      <c r="O32" s="14">
        <f t="shared" si="15"/>
      </c>
      <c r="P32" s="16"/>
      <c r="Q32" s="26"/>
      <c r="R32" s="15"/>
      <c r="S32" s="23">
        <f>IF(S$10=33,1,"")</f>
      </c>
      <c r="T32" s="15"/>
      <c r="U32" s="36">
        <f t="shared" si="5"/>
        <v>0</v>
      </c>
      <c r="V32" s="15">
        <v>5</v>
      </c>
      <c r="W32" s="15" t="str">
        <f t="shared" si="6"/>
        <v>Dai</v>
      </c>
      <c r="X32" s="37">
        <f t="shared" si="7"/>
      </c>
      <c r="Y32" s="38">
        <f t="shared" si="8"/>
      </c>
      <c r="AC32" s="214">
        <f t="shared" si="9"/>
        <v>0.00039</v>
      </c>
      <c r="AD32" s="2">
        <f t="shared" si="10"/>
        <v>39</v>
      </c>
    </row>
    <row r="33" spans="1:30" ht="13.5">
      <c r="A33" s="3"/>
      <c r="B33" s="34" t="s">
        <v>4</v>
      </c>
      <c r="C33" s="35" t="s">
        <v>9</v>
      </c>
      <c r="D33" s="35" t="s">
        <v>14</v>
      </c>
      <c r="E33" s="20"/>
      <c r="F33" s="15"/>
      <c r="G33" s="24">
        <f t="shared" si="13"/>
      </c>
      <c r="H33" s="21"/>
      <c r="I33" s="23">
        <f>IF(I$10=15,1,"")</f>
      </c>
      <c r="J33" s="22"/>
      <c r="K33" s="26"/>
      <c r="L33" s="15"/>
      <c r="M33" s="23">
        <f t="shared" si="14"/>
      </c>
      <c r="N33" s="16"/>
      <c r="O33" s="14">
        <f t="shared" si="15"/>
      </c>
      <c r="P33" s="16"/>
      <c r="Q33" s="26"/>
      <c r="R33" s="15"/>
      <c r="S33" s="23">
        <f>IF(S$10=33,1,"")</f>
      </c>
      <c r="T33" s="15"/>
      <c r="U33" s="36">
        <f t="shared" si="5"/>
        <v>0</v>
      </c>
      <c r="V33" s="15">
        <v>5</v>
      </c>
      <c r="W33" s="15" t="str">
        <f t="shared" si="6"/>
        <v>Eai</v>
      </c>
      <c r="X33" s="37">
        <f t="shared" si="7"/>
      </c>
      <c r="Y33" s="38">
        <f t="shared" si="8"/>
      </c>
      <c r="AC33" s="214">
        <f t="shared" si="9"/>
        <v>0.00038</v>
      </c>
      <c r="AD33" s="2">
        <f t="shared" si="10"/>
        <v>38</v>
      </c>
    </row>
    <row r="34" spans="1:30" ht="13.5">
      <c r="A34" s="3"/>
      <c r="B34" s="34" t="s">
        <v>5</v>
      </c>
      <c r="C34" s="35" t="s">
        <v>9</v>
      </c>
      <c r="D34" s="35" t="s">
        <v>14</v>
      </c>
      <c r="E34" s="20"/>
      <c r="F34" s="15"/>
      <c r="G34" s="24">
        <f t="shared" si="13"/>
      </c>
      <c r="H34" s="21"/>
      <c r="I34" s="21"/>
      <c r="J34" s="24">
        <f>IF(J$10=16,1,"")</f>
      </c>
      <c r="K34" s="26"/>
      <c r="L34" s="15"/>
      <c r="M34" s="23">
        <f t="shared" si="14"/>
      </c>
      <c r="N34" s="16"/>
      <c r="O34" s="14">
        <f t="shared" si="15"/>
      </c>
      <c r="P34" s="16"/>
      <c r="Q34" s="26"/>
      <c r="R34" s="15"/>
      <c r="S34" s="23">
        <f>IF(S$10=33,1,"")</f>
      </c>
      <c r="T34" s="15"/>
      <c r="U34" s="36">
        <f t="shared" si="5"/>
        <v>0</v>
      </c>
      <c r="V34" s="15">
        <v>5</v>
      </c>
      <c r="W34" s="15" t="str">
        <f t="shared" si="6"/>
        <v>Fai</v>
      </c>
      <c r="X34" s="37">
        <f t="shared" si="7"/>
      </c>
      <c r="Y34" s="38">
        <f t="shared" si="8"/>
      </c>
      <c r="AC34" s="214">
        <f t="shared" si="9"/>
        <v>0.00037</v>
      </c>
      <c r="AD34" s="2">
        <f t="shared" si="10"/>
        <v>37</v>
      </c>
    </row>
    <row r="35" spans="1:30" ht="13.5">
      <c r="A35" s="3"/>
      <c r="B35" s="34" t="s">
        <v>3</v>
      </c>
      <c r="C35" s="35" t="s">
        <v>10</v>
      </c>
      <c r="D35" s="35" t="s">
        <v>13</v>
      </c>
      <c r="E35" s="20"/>
      <c r="F35" s="15"/>
      <c r="G35" s="24">
        <f t="shared" si="13"/>
      </c>
      <c r="H35" s="23">
        <f>IF(H$10=14,1,"")</f>
      </c>
      <c r="I35" s="21"/>
      <c r="J35" s="22"/>
      <c r="K35" s="26"/>
      <c r="L35" s="15"/>
      <c r="M35" s="15"/>
      <c r="N35" s="24">
        <f aca="true" t="shared" si="16" ref="N35:N40">IF(N$10=24,1,"")</f>
      </c>
      <c r="O35" s="14">
        <f t="shared" si="15"/>
      </c>
      <c r="P35" s="16"/>
      <c r="Q35" s="26"/>
      <c r="R35" s="23">
        <f>IF(R$10=32,1,"")</f>
      </c>
      <c r="S35" s="15"/>
      <c r="T35" s="15"/>
      <c r="U35" s="36">
        <f t="shared" si="5"/>
        <v>0</v>
      </c>
      <c r="V35" s="15">
        <v>5</v>
      </c>
      <c r="W35" s="15" t="str">
        <f t="shared" si="6"/>
        <v>Dso</v>
      </c>
      <c r="X35" s="37">
        <f t="shared" si="7"/>
      </c>
      <c r="Y35" s="38">
        <f t="shared" si="8"/>
      </c>
      <c r="AC35" s="214">
        <f t="shared" si="9"/>
        <v>0.00036</v>
      </c>
      <c r="AD35" s="2">
        <f t="shared" si="10"/>
        <v>36</v>
      </c>
    </row>
    <row r="36" spans="1:30" ht="13.5">
      <c r="A36" s="3"/>
      <c r="B36" s="34" t="s">
        <v>4</v>
      </c>
      <c r="C36" s="35" t="s">
        <v>10</v>
      </c>
      <c r="D36" s="35" t="s">
        <v>13</v>
      </c>
      <c r="E36" s="20"/>
      <c r="F36" s="15"/>
      <c r="G36" s="24">
        <f t="shared" si="13"/>
      </c>
      <c r="H36" s="21"/>
      <c r="I36" s="23">
        <f>IF(I$10=15,1,"")</f>
      </c>
      <c r="J36" s="22"/>
      <c r="K36" s="26"/>
      <c r="L36" s="15"/>
      <c r="M36" s="15"/>
      <c r="N36" s="24">
        <f t="shared" si="16"/>
      </c>
      <c r="O36" s="14">
        <f t="shared" si="15"/>
      </c>
      <c r="P36" s="16"/>
      <c r="Q36" s="26"/>
      <c r="R36" s="23">
        <f>IF(R$10=32,1,"")</f>
      </c>
      <c r="S36" s="15"/>
      <c r="T36" s="15"/>
      <c r="U36" s="36">
        <f t="shared" si="5"/>
        <v>0</v>
      </c>
      <c r="V36" s="15">
        <v>5</v>
      </c>
      <c r="W36" s="15" t="str">
        <f t="shared" si="6"/>
        <v>Eso</v>
      </c>
      <c r="X36" s="37">
        <f t="shared" si="7"/>
      </c>
      <c r="Y36" s="38">
        <f t="shared" si="8"/>
      </c>
      <c r="AC36" s="214">
        <f t="shared" si="9"/>
        <v>0.00035</v>
      </c>
      <c r="AD36" s="2">
        <f t="shared" si="10"/>
        <v>35</v>
      </c>
    </row>
    <row r="37" spans="1:30" ht="13.5">
      <c r="A37" s="3"/>
      <c r="B37" s="34" t="s">
        <v>5</v>
      </c>
      <c r="C37" s="35" t="s">
        <v>10</v>
      </c>
      <c r="D37" s="35" t="s">
        <v>13</v>
      </c>
      <c r="E37" s="20"/>
      <c r="F37" s="15"/>
      <c r="G37" s="24">
        <f t="shared" si="13"/>
      </c>
      <c r="H37" s="21"/>
      <c r="I37" s="21"/>
      <c r="J37" s="24">
        <f>IF(J$10=16,1,"")</f>
      </c>
      <c r="K37" s="26"/>
      <c r="L37" s="15"/>
      <c r="M37" s="15"/>
      <c r="N37" s="24">
        <f t="shared" si="16"/>
      </c>
      <c r="O37" s="14">
        <f t="shared" si="15"/>
      </c>
      <c r="P37" s="16"/>
      <c r="Q37" s="26"/>
      <c r="R37" s="23">
        <f>IF(R$10=32,1,"")</f>
      </c>
      <c r="S37" s="15"/>
      <c r="T37" s="15"/>
      <c r="U37" s="36">
        <f t="shared" si="5"/>
        <v>0</v>
      </c>
      <c r="V37" s="15">
        <v>5</v>
      </c>
      <c r="W37" s="15" t="str">
        <f t="shared" si="6"/>
        <v>Fso</v>
      </c>
      <c r="X37" s="37">
        <f t="shared" si="7"/>
      </c>
      <c r="Y37" s="38">
        <f t="shared" si="8"/>
      </c>
      <c r="AC37" s="214">
        <f t="shared" si="9"/>
        <v>0.00034</v>
      </c>
      <c r="AD37" s="2">
        <f t="shared" si="10"/>
        <v>34</v>
      </c>
    </row>
    <row r="38" spans="1:30" ht="13.5">
      <c r="A38" s="3"/>
      <c r="B38" s="34" t="s">
        <v>3</v>
      </c>
      <c r="C38" s="35" t="s">
        <v>10</v>
      </c>
      <c r="D38" s="35" t="s">
        <v>14</v>
      </c>
      <c r="E38" s="20"/>
      <c r="F38" s="15"/>
      <c r="G38" s="24">
        <f t="shared" si="13"/>
      </c>
      <c r="H38" s="23">
        <f>IF(H$10=14,1,"")</f>
      </c>
      <c r="I38" s="21"/>
      <c r="J38" s="22"/>
      <c r="K38" s="26"/>
      <c r="L38" s="15"/>
      <c r="M38" s="15"/>
      <c r="N38" s="24">
        <f t="shared" si="16"/>
      </c>
      <c r="O38" s="14">
        <f t="shared" si="15"/>
      </c>
      <c r="P38" s="16"/>
      <c r="Q38" s="26"/>
      <c r="R38" s="15"/>
      <c r="S38" s="23">
        <f>IF(S$10=33,1,"")</f>
      </c>
      <c r="T38" s="15"/>
      <c r="U38" s="36">
        <f t="shared" si="5"/>
        <v>0</v>
      </c>
      <c r="V38" s="15">
        <v>5</v>
      </c>
      <c r="W38" s="15" t="str">
        <f t="shared" si="6"/>
        <v>Dsi</v>
      </c>
      <c r="X38" s="37">
        <f t="shared" si="7"/>
      </c>
      <c r="Y38" s="38">
        <f t="shared" si="8"/>
      </c>
      <c r="AC38" s="214">
        <f t="shared" si="9"/>
        <v>0.00033</v>
      </c>
      <c r="AD38" s="2">
        <f t="shared" si="10"/>
        <v>33</v>
      </c>
    </row>
    <row r="39" spans="1:30" ht="13.5">
      <c r="A39" s="3"/>
      <c r="B39" s="34" t="s">
        <v>4</v>
      </c>
      <c r="C39" s="35" t="s">
        <v>10</v>
      </c>
      <c r="D39" s="35" t="s">
        <v>14</v>
      </c>
      <c r="E39" s="20"/>
      <c r="F39" s="15"/>
      <c r="G39" s="24">
        <f t="shared" si="13"/>
      </c>
      <c r="H39" s="21"/>
      <c r="I39" s="23">
        <f>IF(I$10=15,1,"")</f>
      </c>
      <c r="J39" s="22"/>
      <c r="K39" s="26"/>
      <c r="L39" s="15"/>
      <c r="M39" s="15"/>
      <c r="N39" s="24">
        <f t="shared" si="16"/>
      </c>
      <c r="O39" s="14">
        <f t="shared" si="15"/>
      </c>
      <c r="P39" s="16"/>
      <c r="Q39" s="26"/>
      <c r="R39" s="15"/>
      <c r="S39" s="23">
        <f>IF(S$10=33,1,"")</f>
      </c>
      <c r="T39" s="15"/>
      <c r="U39" s="36">
        <f t="shared" si="5"/>
        <v>0</v>
      </c>
      <c r="V39" s="15">
        <v>5</v>
      </c>
      <c r="W39" s="15" t="str">
        <f t="shared" si="6"/>
        <v>Esi</v>
      </c>
      <c r="X39" s="37">
        <f t="shared" si="7"/>
      </c>
      <c r="Y39" s="38">
        <f t="shared" si="8"/>
      </c>
      <c r="AC39" s="214">
        <f t="shared" si="9"/>
        <v>0.00032</v>
      </c>
      <c r="AD39" s="2">
        <f t="shared" si="10"/>
        <v>32</v>
      </c>
    </row>
    <row r="40" spans="1:30" ht="13.5">
      <c r="A40" s="3"/>
      <c r="B40" s="34" t="s">
        <v>5</v>
      </c>
      <c r="C40" s="35" t="s">
        <v>10</v>
      </c>
      <c r="D40" s="35" t="s">
        <v>14</v>
      </c>
      <c r="E40" s="20"/>
      <c r="F40" s="15"/>
      <c r="G40" s="24">
        <f t="shared" si="13"/>
      </c>
      <c r="H40" s="21"/>
      <c r="I40" s="21"/>
      <c r="J40" s="24">
        <f>IF(J$10=16,1,"")</f>
      </c>
      <c r="K40" s="26"/>
      <c r="L40" s="15"/>
      <c r="M40" s="15"/>
      <c r="N40" s="24">
        <f t="shared" si="16"/>
      </c>
      <c r="O40" s="14">
        <f t="shared" si="15"/>
      </c>
      <c r="P40" s="16"/>
      <c r="Q40" s="26"/>
      <c r="R40" s="15"/>
      <c r="S40" s="23">
        <f>IF(S$10=33,1,"")</f>
      </c>
      <c r="T40" s="15"/>
      <c r="U40" s="36">
        <f t="shared" si="5"/>
        <v>0</v>
      </c>
      <c r="V40" s="15">
        <v>5</v>
      </c>
      <c r="W40" s="15" t="str">
        <f t="shared" si="6"/>
        <v>Fsi</v>
      </c>
      <c r="X40" s="37">
        <f t="shared" si="7"/>
      </c>
      <c r="Y40" s="38">
        <f t="shared" si="8"/>
      </c>
      <c r="AC40" s="214">
        <f t="shared" si="9"/>
        <v>0.00031</v>
      </c>
      <c r="AD40" s="2">
        <f t="shared" si="10"/>
        <v>31</v>
      </c>
    </row>
    <row r="41" spans="1:30" ht="13.5">
      <c r="A41" s="3"/>
      <c r="B41" s="34" t="s">
        <v>3</v>
      </c>
      <c r="C41" s="35" t="s">
        <v>9</v>
      </c>
      <c r="D41" s="35" t="s">
        <v>15</v>
      </c>
      <c r="E41" s="20"/>
      <c r="F41" s="15"/>
      <c r="G41" s="24">
        <f t="shared" si="13"/>
      </c>
      <c r="H41" s="23">
        <f>IF(H$10=14,1,"")</f>
      </c>
      <c r="I41" s="21"/>
      <c r="J41" s="22"/>
      <c r="K41" s="26"/>
      <c r="L41" s="15"/>
      <c r="M41" s="23">
        <f>IF(M$10=23,1,"")</f>
      </c>
      <c r="N41" s="16"/>
      <c r="O41" s="14">
        <f t="shared" si="15"/>
      </c>
      <c r="P41" s="16"/>
      <c r="Q41" s="26"/>
      <c r="R41" s="15"/>
      <c r="S41" s="15"/>
      <c r="T41" s="23">
        <f aca="true" t="shared" si="17" ref="T41:T46">IF(T$10=34,1,"")</f>
      </c>
      <c r="U41" s="36">
        <f t="shared" si="5"/>
        <v>0</v>
      </c>
      <c r="V41" s="15">
        <v>5</v>
      </c>
      <c r="W41" s="15" t="str">
        <f t="shared" si="6"/>
        <v>Dac</v>
      </c>
      <c r="X41" s="37">
        <f t="shared" si="7"/>
      </c>
      <c r="Y41" s="38">
        <f t="shared" si="8"/>
      </c>
      <c r="AC41" s="214">
        <f t="shared" si="9"/>
        <v>0.0003</v>
      </c>
      <c r="AD41" s="2">
        <f t="shared" si="10"/>
        <v>30</v>
      </c>
    </row>
    <row r="42" spans="1:30" ht="13.5">
      <c r="A42" s="3"/>
      <c r="B42" s="34" t="s">
        <v>4</v>
      </c>
      <c r="C42" s="35" t="s">
        <v>9</v>
      </c>
      <c r="D42" s="35" t="s">
        <v>15</v>
      </c>
      <c r="E42" s="20"/>
      <c r="F42" s="15"/>
      <c r="G42" s="24">
        <f t="shared" si="13"/>
      </c>
      <c r="H42" s="21"/>
      <c r="I42" s="23">
        <f>IF(I$10=15,1,"")</f>
      </c>
      <c r="J42" s="22"/>
      <c r="K42" s="26"/>
      <c r="L42" s="15"/>
      <c r="M42" s="23">
        <f>IF(M$10=23,1,"")</f>
      </c>
      <c r="N42" s="16"/>
      <c r="O42" s="14">
        <f t="shared" si="15"/>
      </c>
      <c r="P42" s="16"/>
      <c r="Q42" s="26"/>
      <c r="R42" s="15"/>
      <c r="S42" s="15"/>
      <c r="T42" s="23">
        <f t="shared" si="17"/>
      </c>
      <c r="U42" s="36">
        <f t="shared" si="5"/>
        <v>0</v>
      </c>
      <c r="V42" s="15">
        <v>5</v>
      </c>
      <c r="W42" s="15" t="str">
        <f t="shared" si="6"/>
        <v>Eac</v>
      </c>
      <c r="X42" s="37">
        <f t="shared" si="7"/>
      </c>
      <c r="Y42" s="38">
        <f t="shared" si="8"/>
      </c>
      <c r="AC42" s="214">
        <f t="shared" si="9"/>
        <v>0.00029</v>
      </c>
      <c r="AD42" s="2">
        <f t="shared" si="10"/>
        <v>29</v>
      </c>
    </row>
    <row r="43" spans="1:30" ht="13.5">
      <c r="A43" s="3"/>
      <c r="B43" s="34" t="s">
        <v>5</v>
      </c>
      <c r="C43" s="35" t="s">
        <v>9</v>
      </c>
      <c r="D43" s="35" t="s">
        <v>15</v>
      </c>
      <c r="E43" s="20"/>
      <c r="F43" s="15"/>
      <c r="G43" s="24">
        <f t="shared" si="13"/>
      </c>
      <c r="H43" s="21"/>
      <c r="I43" s="21"/>
      <c r="J43" s="24">
        <f>IF(J$10=16,1,"")</f>
      </c>
      <c r="K43" s="26"/>
      <c r="L43" s="15"/>
      <c r="M43" s="23">
        <f>IF(M$10=23,1,"")</f>
      </c>
      <c r="N43" s="16"/>
      <c r="O43" s="14">
        <f t="shared" si="15"/>
      </c>
      <c r="P43" s="16"/>
      <c r="Q43" s="26"/>
      <c r="R43" s="15"/>
      <c r="S43" s="15"/>
      <c r="T43" s="23">
        <f t="shared" si="17"/>
      </c>
      <c r="U43" s="36">
        <f t="shared" si="5"/>
        <v>0</v>
      </c>
      <c r="V43" s="15">
        <v>5</v>
      </c>
      <c r="W43" s="15" t="str">
        <f t="shared" si="6"/>
        <v>Fac</v>
      </c>
      <c r="X43" s="37">
        <f t="shared" si="7"/>
      </c>
      <c r="Y43" s="38">
        <f t="shared" si="8"/>
      </c>
      <c r="AC43" s="214">
        <f t="shared" si="9"/>
        <v>0.00028</v>
      </c>
      <c r="AD43" s="2">
        <f t="shared" si="10"/>
        <v>28</v>
      </c>
    </row>
    <row r="44" spans="1:30" ht="13.5">
      <c r="A44" s="3"/>
      <c r="B44" s="34" t="s">
        <v>3</v>
      </c>
      <c r="C44" s="35" t="s">
        <v>10</v>
      </c>
      <c r="D44" s="35" t="s">
        <v>15</v>
      </c>
      <c r="E44" s="20"/>
      <c r="F44" s="15"/>
      <c r="G44" s="24">
        <f t="shared" si="13"/>
      </c>
      <c r="H44" s="23">
        <f>IF(H$10=14,1,"")</f>
      </c>
      <c r="I44" s="21"/>
      <c r="J44" s="22"/>
      <c r="K44" s="26"/>
      <c r="L44" s="15"/>
      <c r="M44" s="15"/>
      <c r="N44" s="24">
        <f>IF(N$10=24,1,"")</f>
      </c>
      <c r="O44" s="14">
        <f t="shared" si="15"/>
      </c>
      <c r="P44" s="16"/>
      <c r="Q44" s="26"/>
      <c r="R44" s="15"/>
      <c r="S44" s="15"/>
      <c r="T44" s="23">
        <f t="shared" si="17"/>
      </c>
      <c r="U44" s="36">
        <f t="shared" si="5"/>
        <v>0</v>
      </c>
      <c r="V44" s="15">
        <v>5</v>
      </c>
      <c r="W44" s="15" t="str">
        <f t="shared" si="6"/>
        <v>Dsc</v>
      </c>
      <c r="X44" s="37">
        <f t="shared" si="7"/>
      </c>
      <c r="Y44" s="38">
        <f t="shared" si="8"/>
      </c>
      <c r="AC44" s="214">
        <f t="shared" si="9"/>
        <v>0.00027</v>
      </c>
      <c r="AD44" s="2">
        <f t="shared" si="10"/>
        <v>27</v>
      </c>
    </row>
    <row r="45" spans="1:30" ht="13.5">
      <c r="A45" s="3"/>
      <c r="B45" s="34" t="s">
        <v>4</v>
      </c>
      <c r="C45" s="35" t="s">
        <v>10</v>
      </c>
      <c r="D45" s="35" t="s">
        <v>15</v>
      </c>
      <c r="E45" s="20"/>
      <c r="F45" s="15"/>
      <c r="G45" s="24">
        <f t="shared" si="13"/>
      </c>
      <c r="H45" s="21"/>
      <c r="I45" s="23">
        <f>IF(I$10=15,1,"")</f>
      </c>
      <c r="J45" s="22"/>
      <c r="K45" s="26"/>
      <c r="L45" s="15"/>
      <c r="M45" s="15"/>
      <c r="N45" s="24">
        <f>IF(N$10=24,1,"")</f>
      </c>
      <c r="O45" s="14">
        <f t="shared" si="15"/>
      </c>
      <c r="P45" s="16"/>
      <c r="Q45" s="26"/>
      <c r="R45" s="15"/>
      <c r="S45" s="15"/>
      <c r="T45" s="23">
        <f t="shared" si="17"/>
      </c>
      <c r="U45" s="36">
        <f t="shared" si="5"/>
        <v>0</v>
      </c>
      <c r="V45" s="15">
        <v>5</v>
      </c>
      <c r="W45" s="15" t="str">
        <f t="shared" si="6"/>
        <v>Esc</v>
      </c>
      <c r="X45" s="37">
        <f t="shared" si="7"/>
      </c>
      <c r="Y45" s="38">
        <f t="shared" si="8"/>
      </c>
      <c r="AC45" s="214">
        <f t="shared" si="9"/>
        <v>0.00026</v>
      </c>
      <c r="AD45" s="2">
        <f t="shared" si="10"/>
        <v>26</v>
      </c>
    </row>
    <row r="46" spans="1:30" ht="13.5">
      <c r="A46" s="3"/>
      <c r="B46" s="34" t="s">
        <v>5</v>
      </c>
      <c r="C46" s="35" t="s">
        <v>10</v>
      </c>
      <c r="D46" s="35" t="s">
        <v>15</v>
      </c>
      <c r="E46" s="20"/>
      <c r="F46" s="15"/>
      <c r="G46" s="24">
        <f t="shared" si="13"/>
      </c>
      <c r="H46" s="21"/>
      <c r="I46" s="21"/>
      <c r="J46" s="24">
        <f>IF(J$10=16,1,"")</f>
      </c>
      <c r="K46" s="26"/>
      <c r="L46" s="15"/>
      <c r="M46" s="15"/>
      <c r="N46" s="24">
        <f>IF(N$10=24,1,"")</f>
      </c>
      <c r="O46" s="14">
        <f t="shared" si="15"/>
      </c>
      <c r="P46" s="16"/>
      <c r="Q46" s="26"/>
      <c r="R46" s="15"/>
      <c r="S46" s="15"/>
      <c r="T46" s="23">
        <f t="shared" si="17"/>
      </c>
      <c r="U46" s="36">
        <f t="shared" si="5"/>
        <v>0</v>
      </c>
      <c r="V46" s="15">
        <v>5</v>
      </c>
      <c r="W46" s="15" t="str">
        <f t="shared" si="6"/>
        <v>Fsc</v>
      </c>
      <c r="X46" s="37">
        <f t="shared" si="7"/>
      </c>
      <c r="Y46" s="38">
        <f t="shared" si="8"/>
      </c>
      <c r="AC46" s="214">
        <f t="shared" si="9"/>
        <v>0.00025</v>
      </c>
      <c r="AD46" s="2">
        <f t="shared" si="10"/>
        <v>25</v>
      </c>
    </row>
    <row r="47" spans="1:30" ht="13.5">
      <c r="A47" s="3"/>
      <c r="B47" s="34" t="s">
        <v>6</v>
      </c>
      <c r="C47" s="35" t="s">
        <v>11</v>
      </c>
      <c r="D47" s="35" t="s">
        <v>7</v>
      </c>
      <c r="E47" s="14">
        <f>IF(E$10=11,1,"")</f>
      </c>
      <c r="F47" s="15"/>
      <c r="G47" s="16"/>
      <c r="H47" s="21"/>
      <c r="I47" s="21"/>
      <c r="J47" s="22"/>
      <c r="K47" s="26"/>
      <c r="L47" s="15"/>
      <c r="M47" s="23">
        <f>IF(M$10=23,1,"")</f>
      </c>
      <c r="N47" s="16"/>
      <c r="O47" s="26"/>
      <c r="P47" s="24">
        <f aca="true" t="shared" si="18" ref="P47:P70">IF(P$10=26,1,"")</f>
      </c>
      <c r="Q47" s="14">
        <f>IF(Q$10=31,1,"")</f>
      </c>
      <c r="R47" s="15"/>
      <c r="S47" s="15"/>
      <c r="T47" s="15"/>
      <c r="U47" s="36">
        <f t="shared" si="5"/>
        <v>0</v>
      </c>
      <c r="V47" s="15">
        <v>4</v>
      </c>
      <c r="W47" s="15" t="str">
        <f t="shared" si="6"/>
        <v>Hkx</v>
      </c>
      <c r="X47" s="37">
        <f t="shared" si="7"/>
      </c>
      <c r="Y47" s="38">
        <f t="shared" si="8"/>
      </c>
      <c r="AC47" s="214">
        <f t="shared" si="9"/>
        <v>0.00024</v>
      </c>
      <c r="AD47" s="2">
        <f t="shared" si="10"/>
        <v>24</v>
      </c>
    </row>
    <row r="48" spans="1:30" ht="13.5">
      <c r="A48" s="3"/>
      <c r="B48" s="34" t="s">
        <v>2</v>
      </c>
      <c r="C48" s="35" t="s">
        <v>11</v>
      </c>
      <c r="D48" s="35" t="s">
        <v>13</v>
      </c>
      <c r="E48" s="20"/>
      <c r="F48" s="23">
        <f>IF(F$10=12,1,"")</f>
      </c>
      <c r="G48" s="16"/>
      <c r="H48" s="21"/>
      <c r="I48" s="21"/>
      <c r="J48" s="22"/>
      <c r="K48" s="26"/>
      <c r="L48" s="15"/>
      <c r="M48" s="23">
        <f>IF(M$10=23,1,"")</f>
      </c>
      <c r="N48" s="16"/>
      <c r="O48" s="26"/>
      <c r="P48" s="24">
        <f t="shared" si="18"/>
      </c>
      <c r="Q48" s="26"/>
      <c r="R48" s="23">
        <f>IF(R$10=32,1,"")</f>
      </c>
      <c r="S48" s="15"/>
      <c r="T48" s="15"/>
      <c r="U48" s="36">
        <f t="shared" si="5"/>
        <v>0</v>
      </c>
      <c r="V48" s="15">
        <v>4</v>
      </c>
      <c r="W48" s="15" t="str">
        <f t="shared" si="6"/>
        <v>Cko</v>
      </c>
      <c r="X48" s="37">
        <f t="shared" si="7"/>
      </c>
      <c r="Y48" s="38">
        <f t="shared" si="8"/>
      </c>
      <c r="AC48" s="214">
        <f t="shared" si="9"/>
        <v>0.00023</v>
      </c>
      <c r="AD48" s="2">
        <f t="shared" si="10"/>
        <v>23</v>
      </c>
    </row>
    <row r="49" spans="1:30" ht="13.5">
      <c r="A49" s="3"/>
      <c r="B49" s="34" t="s">
        <v>2</v>
      </c>
      <c r="C49" s="35" t="s">
        <v>11</v>
      </c>
      <c r="D49" s="35" t="s">
        <v>14</v>
      </c>
      <c r="E49" s="20"/>
      <c r="F49" s="23">
        <f>IF(F$10=12,1,"")</f>
      </c>
      <c r="G49" s="16"/>
      <c r="H49" s="21"/>
      <c r="I49" s="21"/>
      <c r="J49" s="22"/>
      <c r="K49" s="26"/>
      <c r="L49" s="15"/>
      <c r="M49" s="23">
        <f>IF(M$10=23,1,"")</f>
      </c>
      <c r="N49" s="16"/>
      <c r="O49" s="26"/>
      <c r="P49" s="24">
        <f t="shared" si="18"/>
      </c>
      <c r="Q49" s="26"/>
      <c r="R49" s="15"/>
      <c r="S49" s="23">
        <f>IF(S$10=33,1,"")</f>
      </c>
      <c r="T49" s="15"/>
      <c r="U49" s="36">
        <f t="shared" si="5"/>
        <v>0</v>
      </c>
      <c r="V49" s="15">
        <v>4</v>
      </c>
      <c r="W49" s="15" t="str">
        <f t="shared" si="6"/>
        <v>Cki</v>
      </c>
      <c r="X49" s="37">
        <f t="shared" si="7"/>
      </c>
      <c r="Y49" s="38">
        <f t="shared" si="8"/>
      </c>
      <c r="AC49" s="214">
        <f t="shared" si="9"/>
        <v>0.00022</v>
      </c>
      <c r="AD49" s="2">
        <f t="shared" si="10"/>
        <v>22</v>
      </c>
    </row>
    <row r="50" spans="1:30" ht="13.5">
      <c r="A50" s="3"/>
      <c r="B50" s="34" t="s">
        <v>6</v>
      </c>
      <c r="C50" s="35" t="s">
        <v>12</v>
      </c>
      <c r="D50" s="35" t="s">
        <v>7</v>
      </c>
      <c r="E50" s="14">
        <f>IF(E$10=11,1,"")</f>
      </c>
      <c r="F50" s="15"/>
      <c r="G50" s="16"/>
      <c r="H50" s="21"/>
      <c r="I50" s="21"/>
      <c r="J50" s="22"/>
      <c r="K50" s="26"/>
      <c r="L50" s="15"/>
      <c r="M50" s="15"/>
      <c r="N50" s="24">
        <f>IF(N$10=24,1,"")</f>
      </c>
      <c r="O50" s="26"/>
      <c r="P50" s="24">
        <f t="shared" si="18"/>
      </c>
      <c r="Q50" s="14">
        <f>IF(Q$10=31,1,"")</f>
      </c>
      <c r="R50" s="15"/>
      <c r="S50" s="15"/>
      <c r="T50" s="15"/>
      <c r="U50" s="36">
        <f t="shared" si="5"/>
        <v>0</v>
      </c>
      <c r="V50" s="15">
        <v>4</v>
      </c>
      <c r="W50" s="15" t="str">
        <f t="shared" si="6"/>
        <v>Hhx</v>
      </c>
      <c r="X50" s="37">
        <f t="shared" si="7"/>
      </c>
      <c r="Y50" s="38">
        <f t="shared" si="8"/>
      </c>
      <c r="AC50" s="214">
        <f t="shared" si="9"/>
        <v>0.00021</v>
      </c>
      <c r="AD50" s="2">
        <f t="shared" si="10"/>
        <v>21</v>
      </c>
    </row>
    <row r="51" spans="1:30" ht="13.5">
      <c r="A51" s="3"/>
      <c r="B51" s="34" t="s">
        <v>2</v>
      </c>
      <c r="C51" s="35" t="s">
        <v>12</v>
      </c>
      <c r="D51" s="35" t="s">
        <v>13</v>
      </c>
      <c r="E51" s="20"/>
      <c r="F51" s="23">
        <f>IF(F$10=12,1,"")</f>
      </c>
      <c r="G51" s="16"/>
      <c r="H51" s="21"/>
      <c r="I51" s="21"/>
      <c r="J51" s="22"/>
      <c r="K51" s="26"/>
      <c r="L51" s="15"/>
      <c r="M51" s="15"/>
      <c r="N51" s="24">
        <f>IF(N$10=24,1,"")</f>
      </c>
      <c r="O51" s="26"/>
      <c r="P51" s="24">
        <f t="shared" si="18"/>
      </c>
      <c r="Q51" s="26"/>
      <c r="R51" s="23">
        <f>IF(R$10=32,1,"")</f>
      </c>
      <c r="S51" s="15"/>
      <c r="T51" s="15"/>
      <c r="U51" s="36">
        <f t="shared" si="5"/>
        <v>0</v>
      </c>
      <c r="V51" s="15">
        <v>4</v>
      </c>
      <c r="W51" s="15" t="str">
        <f t="shared" si="6"/>
        <v>Cho</v>
      </c>
      <c r="X51" s="37">
        <f t="shared" si="7"/>
      </c>
      <c r="Y51" s="38">
        <f t="shared" si="8"/>
      </c>
      <c r="AC51" s="214">
        <f t="shared" si="9"/>
        <v>0.0002</v>
      </c>
      <c r="AD51" s="2">
        <f t="shared" si="10"/>
        <v>20</v>
      </c>
    </row>
    <row r="52" spans="1:30" ht="13.5">
      <c r="A52" s="3"/>
      <c r="B52" s="34" t="s">
        <v>2</v>
      </c>
      <c r="C52" s="35" t="s">
        <v>12</v>
      </c>
      <c r="D52" s="35" t="s">
        <v>14</v>
      </c>
      <c r="E52" s="20"/>
      <c r="F52" s="23">
        <f>IF(F$10=12,1,"")</f>
      </c>
      <c r="G52" s="16"/>
      <c r="H52" s="21"/>
      <c r="I52" s="21"/>
      <c r="J52" s="22"/>
      <c r="K52" s="26"/>
      <c r="L52" s="15"/>
      <c r="M52" s="15"/>
      <c r="N52" s="24">
        <f>IF(N$10=24,1,"")</f>
      </c>
      <c r="O52" s="26"/>
      <c r="P52" s="24">
        <f t="shared" si="18"/>
      </c>
      <c r="Q52" s="26"/>
      <c r="R52" s="15"/>
      <c r="S52" s="23">
        <f>IF(S$10=33,1,"")</f>
      </c>
      <c r="T52" s="15"/>
      <c r="U52" s="36">
        <f t="shared" si="5"/>
        <v>0</v>
      </c>
      <c r="V52" s="15">
        <v>4</v>
      </c>
      <c r="W52" s="15" t="str">
        <f t="shared" si="6"/>
        <v>Chi</v>
      </c>
      <c r="X52" s="37">
        <f t="shared" si="7"/>
      </c>
      <c r="Y52" s="38">
        <f t="shared" si="8"/>
      </c>
      <c r="AC52" s="214">
        <f t="shared" si="9"/>
        <v>0.00019</v>
      </c>
      <c r="AD52" s="2">
        <f t="shared" si="10"/>
        <v>19</v>
      </c>
    </row>
    <row r="53" spans="1:30" ht="13.5">
      <c r="A53" s="3"/>
      <c r="B53" s="34" t="s">
        <v>3</v>
      </c>
      <c r="C53" s="35" t="s">
        <v>11</v>
      </c>
      <c r="D53" s="35" t="s">
        <v>13</v>
      </c>
      <c r="E53" s="20"/>
      <c r="F53" s="15"/>
      <c r="G53" s="24">
        <f aca="true" t="shared" si="19" ref="G53:G70">IF(G$10=13,1,"")</f>
      </c>
      <c r="H53" s="23">
        <f>IF(H$10=14,1,"")</f>
      </c>
      <c r="I53" s="21"/>
      <c r="J53" s="22"/>
      <c r="K53" s="26"/>
      <c r="L53" s="15"/>
      <c r="M53" s="23">
        <f aca="true" t="shared" si="20" ref="M53:M58">IF(M$10=23,1,"")</f>
      </c>
      <c r="N53" s="16"/>
      <c r="O53" s="26"/>
      <c r="P53" s="24">
        <f t="shared" si="18"/>
      </c>
      <c r="Q53" s="26"/>
      <c r="R53" s="23">
        <f>IF(R$10=32,1,"")</f>
      </c>
      <c r="S53" s="15"/>
      <c r="T53" s="15"/>
      <c r="U53" s="36">
        <f t="shared" si="5"/>
        <v>0</v>
      </c>
      <c r="V53" s="15">
        <v>5</v>
      </c>
      <c r="W53" s="15" t="str">
        <f t="shared" si="6"/>
        <v>Dko</v>
      </c>
      <c r="X53" s="37">
        <f t="shared" si="7"/>
      </c>
      <c r="Y53" s="38">
        <f t="shared" si="8"/>
      </c>
      <c r="AC53" s="214">
        <f t="shared" si="9"/>
        <v>0.00018</v>
      </c>
      <c r="AD53" s="2">
        <f t="shared" si="10"/>
        <v>18</v>
      </c>
    </row>
    <row r="54" spans="1:30" ht="13.5">
      <c r="A54" s="3"/>
      <c r="B54" s="34" t="s">
        <v>4</v>
      </c>
      <c r="C54" s="35" t="s">
        <v>11</v>
      </c>
      <c r="D54" s="35" t="s">
        <v>13</v>
      </c>
      <c r="E54" s="20"/>
      <c r="F54" s="15"/>
      <c r="G54" s="24">
        <f t="shared" si="19"/>
      </c>
      <c r="H54" s="21"/>
      <c r="I54" s="23">
        <f>IF(I$10=15,1,"")</f>
      </c>
      <c r="J54" s="22"/>
      <c r="K54" s="26"/>
      <c r="L54" s="15"/>
      <c r="M54" s="23">
        <f t="shared" si="20"/>
      </c>
      <c r="N54" s="16"/>
      <c r="O54" s="26"/>
      <c r="P54" s="24">
        <f t="shared" si="18"/>
      </c>
      <c r="Q54" s="26"/>
      <c r="R54" s="23">
        <f>IF(R$10=32,1,"")</f>
      </c>
      <c r="S54" s="15"/>
      <c r="T54" s="15"/>
      <c r="U54" s="36">
        <f t="shared" si="5"/>
        <v>0</v>
      </c>
      <c r="V54" s="15">
        <v>5</v>
      </c>
      <c r="W54" s="15" t="str">
        <f t="shared" si="6"/>
        <v>Eko</v>
      </c>
      <c r="X54" s="37">
        <f t="shared" si="7"/>
      </c>
      <c r="Y54" s="38">
        <f t="shared" si="8"/>
      </c>
      <c r="AC54" s="214">
        <f t="shared" si="9"/>
        <v>0.00017</v>
      </c>
      <c r="AD54" s="2">
        <f t="shared" si="10"/>
        <v>17</v>
      </c>
    </row>
    <row r="55" spans="1:30" ht="13.5">
      <c r="A55" s="3"/>
      <c r="B55" s="34" t="s">
        <v>5</v>
      </c>
      <c r="C55" s="35" t="s">
        <v>11</v>
      </c>
      <c r="D55" s="35" t="s">
        <v>13</v>
      </c>
      <c r="E55" s="20"/>
      <c r="F55" s="15"/>
      <c r="G55" s="24">
        <f t="shared" si="19"/>
      </c>
      <c r="H55" s="21"/>
      <c r="I55" s="21"/>
      <c r="J55" s="24">
        <f>IF(J$10=16,1,"")</f>
      </c>
      <c r="K55" s="26"/>
      <c r="L55" s="15"/>
      <c r="M55" s="23">
        <f t="shared" si="20"/>
      </c>
      <c r="N55" s="16"/>
      <c r="O55" s="26"/>
      <c r="P55" s="24">
        <f t="shared" si="18"/>
      </c>
      <c r="Q55" s="26"/>
      <c r="R55" s="23">
        <f>IF(R$10=32,1,"")</f>
      </c>
      <c r="S55" s="15"/>
      <c r="T55" s="15"/>
      <c r="U55" s="36">
        <f t="shared" si="5"/>
        <v>0</v>
      </c>
      <c r="V55" s="15">
        <v>5</v>
      </c>
      <c r="W55" s="15" t="str">
        <f t="shared" si="6"/>
        <v>Fko</v>
      </c>
      <c r="X55" s="37">
        <f t="shared" si="7"/>
      </c>
      <c r="Y55" s="38">
        <f t="shared" si="8"/>
      </c>
      <c r="AC55" s="214">
        <f t="shared" si="9"/>
        <v>0.00016</v>
      </c>
      <c r="AD55" s="2">
        <f t="shared" si="10"/>
        <v>16</v>
      </c>
    </row>
    <row r="56" spans="1:30" ht="13.5">
      <c r="A56" s="3"/>
      <c r="B56" s="34" t="s">
        <v>3</v>
      </c>
      <c r="C56" s="35" t="s">
        <v>11</v>
      </c>
      <c r="D56" s="35" t="s">
        <v>14</v>
      </c>
      <c r="E56" s="20"/>
      <c r="F56" s="15"/>
      <c r="G56" s="24">
        <f t="shared" si="19"/>
      </c>
      <c r="H56" s="23">
        <f>IF(H$10=14,1,"")</f>
      </c>
      <c r="I56" s="21"/>
      <c r="J56" s="22"/>
      <c r="K56" s="26"/>
      <c r="L56" s="15"/>
      <c r="M56" s="23">
        <f t="shared" si="20"/>
      </c>
      <c r="N56" s="16"/>
      <c r="O56" s="26"/>
      <c r="P56" s="24">
        <f t="shared" si="18"/>
      </c>
      <c r="Q56" s="26"/>
      <c r="R56" s="15"/>
      <c r="S56" s="23">
        <f>IF(S$10=33,1,"")</f>
      </c>
      <c r="T56" s="15"/>
      <c r="U56" s="36">
        <f t="shared" si="5"/>
        <v>0</v>
      </c>
      <c r="V56" s="15">
        <v>5</v>
      </c>
      <c r="W56" s="15" t="str">
        <f t="shared" si="6"/>
        <v>Dki</v>
      </c>
      <c r="X56" s="37">
        <f t="shared" si="7"/>
      </c>
      <c r="Y56" s="38">
        <f t="shared" si="8"/>
      </c>
      <c r="AC56" s="214">
        <f t="shared" si="9"/>
        <v>0.00015</v>
      </c>
      <c r="AD56" s="2">
        <f t="shared" si="10"/>
        <v>15</v>
      </c>
    </row>
    <row r="57" spans="1:30" ht="13.5">
      <c r="A57" s="3"/>
      <c r="B57" s="34" t="s">
        <v>4</v>
      </c>
      <c r="C57" s="35" t="s">
        <v>11</v>
      </c>
      <c r="D57" s="35" t="s">
        <v>14</v>
      </c>
      <c r="E57" s="20"/>
      <c r="F57" s="15"/>
      <c r="G57" s="24">
        <f t="shared" si="19"/>
      </c>
      <c r="H57" s="21"/>
      <c r="I57" s="23">
        <f>IF(I$10=15,1,"")</f>
      </c>
      <c r="J57" s="22"/>
      <c r="K57" s="26"/>
      <c r="L57" s="15"/>
      <c r="M57" s="23">
        <f t="shared" si="20"/>
      </c>
      <c r="N57" s="16"/>
      <c r="O57" s="26"/>
      <c r="P57" s="24">
        <f t="shared" si="18"/>
      </c>
      <c r="Q57" s="26"/>
      <c r="R57" s="15"/>
      <c r="S57" s="23">
        <f>IF(S$10=33,1,"")</f>
      </c>
      <c r="T57" s="15"/>
      <c r="U57" s="36">
        <f t="shared" si="5"/>
        <v>0</v>
      </c>
      <c r="V57" s="15">
        <v>5</v>
      </c>
      <c r="W57" s="15" t="str">
        <f t="shared" si="6"/>
        <v>Eki</v>
      </c>
      <c r="X57" s="37">
        <f t="shared" si="7"/>
      </c>
      <c r="Y57" s="38">
        <f t="shared" si="8"/>
      </c>
      <c r="AC57" s="214">
        <f t="shared" si="9"/>
        <v>0.00014</v>
      </c>
      <c r="AD57" s="2">
        <f t="shared" si="10"/>
        <v>14</v>
      </c>
    </row>
    <row r="58" spans="1:30" ht="13.5">
      <c r="A58" s="3"/>
      <c r="B58" s="34" t="s">
        <v>5</v>
      </c>
      <c r="C58" s="35" t="s">
        <v>11</v>
      </c>
      <c r="D58" s="35" t="s">
        <v>14</v>
      </c>
      <c r="E58" s="20"/>
      <c r="F58" s="15"/>
      <c r="G58" s="24">
        <f t="shared" si="19"/>
      </c>
      <c r="H58" s="21"/>
      <c r="I58" s="21"/>
      <c r="J58" s="24">
        <f>IF(J$10=16,1,"")</f>
      </c>
      <c r="K58" s="26"/>
      <c r="L58" s="15"/>
      <c r="M58" s="23">
        <f t="shared" si="20"/>
      </c>
      <c r="N58" s="16"/>
      <c r="O58" s="26"/>
      <c r="P58" s="24">
        <f t="shared" si="18"/>
      </c>
      <c r="Q58" s="26"/>
      <c r="R58" s="15"/>
      <c r="S58" s="23">
        <f>IF(S$10=33,1,"")</f>
      </c>
      <c r="T58" s="15"/>
      <c r="U58" s="36">
        <f t="shared" si="5"/>
        <v>0</v>
      </c>
      <c r="V58" s="15">
        <v>5</v>
      </c>
      <c r="W58" s="15" t="str">
        <f t="shared" si="6"/>
        <v>Fki</v>
      </c>
      <c r="X58" s="37">
        <f t="shared" si="7"/>
      </c>
      <c r="Y58" s="38">
        <f t="shared" si="8"/>
      </c>
      <c r="AC58" s="214">
        <f t="shared" si="9"/>
        <v>0.00013</v>
      </c>
      <c r="AD58" s="2">
        <f t="shared" si="10"/>
        <v>13</v>
      </c>
    </row>
    <row r="59" spans="1:30" ht="13.5">
      <c r="A59" s="3"/>
      <c r="B59" s="34" t="s">
        <v>3</v>
      </c>
      <c r="C59" s="35" t="s">
        <v>12</v>
      </c>
      <c r="D59" s="35" t="s">
        <v>13</v>
      </c>
      <c r="E59" s="20"/>
      <c r="F59" s="15"/>
      <c r="G59" s="24">
        <f t="shared" si="19"/>
      </c>
      <c r="H59" s="23">
        <f>IF(H$10=14,1,"")</f>
      </c>
      <c r="I59" s="21"/>
      <c r="J59" s="22"/>
      <c r="K59" s="26"/>
      <c r="L59" s="15"/>
      <c r="M59" s="15"/>
      <c r="N59" s="24">
        <f aca="true" t="shared" si="21" ref="N59:N64">IF(N$10=24,1,"")</f>
      </c>
      <c r="O59" s="26"/>
      <c r="P59" s="24">
        <f t="shared" si="18"/>
      </c>
      <c r="Q59" s="26"/>
      <c r="R59" s="23">
        <f>IF(R$10=32,1,"")</f>
      </c>
      <c r="S59" s="15"/>
      <c r="T59" s="15"/>
      <c r="U59" s="36">
        <f t="shared" si="5"/>
        <v>0</v>
      </c>
      <c r="V59" s="15">
        <v>5</v>
      </c>
      <c r="W59" s="15" t="str">
        <f t="shared" si="6"/>
        <v>Dho</v>
      </c>
      <c r="X59" s="37">
        <f t="shared" si="7"/>
      </c>
      <c r="Y59" s="38">
        <f t="shared" si="8"/>
      </c>
      <c r="AC59" s="214">
        <f t="shared" si="9"/>
        <v>0.00012</v>
      </c>
      <c r="AD59" s="2">
        <f t="shared" si="10"/>
        <v>12</v>
      </c>
    </row>
    <row r="60" spans="1:30" ht="13.5">
      <c r="A60" s="3"/>
      <c r="B60" s="34" t="s">
        <v>4</v>
      </c>
      <c r="C60" s="35" t="s">
        <v>12</v>
      </c>
      <c r="D60" s="35" t="s">
        <v>13</v>
      </c>
      <c r="E60" s="20"/>
      <c r="F60" s="15"/>
      <c r="G60" s="24">
        <f t="shared" si="19"/>
      </c>
      <c r="H60" s="21"/>
      <c r="I60" s="23">
        <f>IF(I$10=15,1,"")</f>
      </c>
      <c r="J60" s="22"/>
      <c r="K60" s="26"/>
      <c r="L60" s="15"/>
      <c r="M60" s="15"/>
      <c r="N60" s="24">
        <f t="shared" si="21"/>
      </c>
      <c r="O60" s="26"/>
      <c r="P60" s="24">
        <f t="shared" si="18"/>
      </c>
      <c r="Q60" s="26"/>
      <c r="R60" s="23">
        <f>IF(R$10=32,1,"")</f>
      </c>
      <c r="S60" s="15"/>
      <c r="T60" s="15"/>
      <c r="U60" s="36">
        <f t="shared" si="5"/>
        <v>0</v>
      </c>
      <c r="V60" s="15">
        <v>5</v>
      </c>
      <c r="W60" s="15" t="str">
        <f t="shared" si="6"/>
        <v>Eho</v>
      </c>
      <c r="X60" s="37">
        <f t="shared" si="7"/>
      </c>
      <c r="Y60" s="38">
        <f t="shared" si="8"/>
      </c>
      <c r="AC60" s="214">
        <f t="shared" si="9"/>
        <v>0.00011</v>
      </c>
      <c r="AD60" s="2">
        <f t="shared" si="10"/>
        <v>11</v>
      </c>
    </row>
    <row r="61" spans="1:30" ht="13.5">
      <c r="A61" s="3"/>
      <c r="B61" s="34" t="s">
        <v>5</v>
      </c>
      <c r="C61" s="35" t="s">
        <v>12</v>
      </c>
      <c r="D61" s="35" t="s">
        <v>13</v>
      </c>
      <c r="E61" s="20"/>
      <c r="F61" s="15"/>
      <c r="G61" s="24">
        <f t="shared" si="19"/>
      </c>
      <c r="H61" s="21"/>
      <c r="I61" s="21"/>
      <c r="J61" s="24">
        <f>IF(J$10=16,1,"")</f>
      </c>
      <c r="K61" s="26"/>
      <c r="L61" s="15"/>
      <c r="M61" s="15"/>
      <c r="N61" s="24">
        <f t="shared" si="21"/>
      </c>
      <c r="O61" s="26"/>
      <c r="P61" s="24">
        <f t="shared" si="18"/>
      </c>
      <c r="Q61" s="26"/>
      <c r="R61" s="23">
        <f>IF(R$10=32,1,"")</f>
      </c>
      <c r="S61" s="15"/>
      <c r="T61" s="15"/>
      <c r="U61" s="36">
        <f t="shared" si="5"/>
        <v>0</v>
      </c>
      <c r="V61" s="15">
        <v>5</v>
      </c>
      <c r="W61" s="15" t="str">
        <f t="shared" si="6"/>
        <v>Fho</v>
      </c>
      <c r="X61" s="37">
        <f t="shared" si="7"/>
      </c>
      <c r="Y61" s="38">
        <f t="shared" si="8"/>
      </c>
      <c r="AC61" s="214">
        <f t="shared" si="9"/>
        <v>0.0001</v>
      </c>
      <c r="AD61" s="2">
        <f t="shared" si="10"/>
        <v>10</v>
      </c>
    </row>
    <row r="62" spans="1:30" ht="13.5">
      <c r="A62" s="3"/>
      <c r="B62" s="34" t="s">
        <v>3</v>
      </c>
      <c r="C62" s="35" t="s">
        <v>12</v>
      </c>
      <c r="D62" s="35" t="s">
        <v>14</v>
      </c>
      <c r="E62" s="20"/>
      <c r="F62" s="15"/>
      <c r="G62" s="24">
        <f t="shared" si="19"/>
      </c>
      <c r="H62" s="23">
        <f>IF(H$10=14,1,"")</f>
      </c>
      <c r="I62" s="21"/>
      <c r="J62" s="22"/>
      <c r="K62" s="26"/>
      <c r="L62" s="15"/>
      <c r="M62" s="15"/>
      <c r="N62" s="24">
        <f t="shared" si="21"/>
      </c>
      <c r="O62" s="26"/>
      <c r="P62" s="24">
        <f t="shared" si="18"/>
      </c>
      <c r="Q62" s="26"/>
      <c r="R62" s="15"/>
      <c r="S62" s="23">
        <f>IF(S$10=33,1,"")</f>
      </c>
      <c r="T62" s="15"/>
      <c r="U62" s="36">
        <f t="shared" si="5"/>
        <v>0</v>
      </c>
      <c r="V62" s="15">
        <v>5</v>
      </c>
      <c r="W62" s="15" t="str">
        <f t="shared" si="6"/>
        <v>Dhi</v>
      </c>
      <c r="X62" s="37">
        <f t="shared" si="7"/>
      </c>
      <c r="Y62" s="38">
        <f t="shared" si="8"/>
      </c>
      <c r="AC62" s="214">
        <f t="shared" si="9"/>
        <v>9E-05</v>
      </c>
      <c r="AD62" s="2">
        <f t="shared" si="10"/>
        <v>9</v>
      </c>
    </row>
    <row r="63" spans="1:30" ht="13.5">
      <c r="A63" s="3"/>
      <c r="B63" s="34" t="s">
        <v>4</v>
      </c>
      <c r="C63" s="35" t="s">
        <v>12</v>
      </c>
      <c r="D63" s="35" t="s">
        <v>14</v>
      </c>
      <c r="E63" s="20"/>
      <c r="F63" s="15"/>
      <c r="G63" s="24">
        <f t="shared" si="19"/>
      </c>
      <c r="H63" s="21"/>
      <c r="I63" s="23">
        <f>IF(I$10=15,1,"")</f>
      </c>
      <c r="J63" s="22"/>
      <c r="K63" s="26"/>
      <c r="L63" s="15"/>
      <c r="M63" s="15"/>
      <c r="N63" s="24">
        <f t="shared" si="21"/>
      </c>
      <c r="O63" s="26"/>
      <c r="P63" s="24">
        <f t="shared" si="18"/>
      </c>
      <c r="Q63" s="26"/>
      <c r="R63" s="15"/>
      <c r="S63" s="23">
        <f>IF(S$10=33,1,"")</f>
      </c>
      <c r="T63" s="15"/>
      <c r="U63" s="36">
        <f t="shared" si="5"/>
        <v>0</v>
      </c>
      <c r="V63" s="15">
        <v>5</v>
      </c>
      <c r="W63" s="15" t="str">
        <f t="shared" si="6"/>
        <v>Ehi</v>
      </c>
      <c r="X63" s="37">
        <f t="shared" si="7"/>
      </c>
      <c r="Y63" s="38">
        <f t="shared" si="8"/>
      </c>
      <c r="AC63" s="214">
        <f t="shared" si="9"/>
        <v>8E-05</v>
      </c>
      <c r="AD63" s="2">
        <f t="shared" si="10"/>
        <v>8</v>
      </c>
    </row>
    <row r="64" spans="1:30" ht="13.5">
      <c r="A64" s="3"/>
      <c r="B64" s="34" t="s">
        <v>5</v>
      </c>
      <c r="C64" s="35" t="s">
        <v>12</v>
      </c>
      <c r="D64" s="35" t="s">
        <v>14</v>
      </c>
      <c r="E64" s="20"/>
      <c r="F64" s="15"/>
      <c r="G64" s="24">
        <f t="shared" si="19"/>
      </c>
      <c r="H64" s="21"/>
      <c r="I64" s="21"/>
      <c r="J64" s="24">
        <f>IF(J$10=16,1,"")</f>
      </c>
      <c r="K64" s="26"/>
      <c r="L64" s="15"/>
      <c r="M64" s="15"/>
      <c r="N64" s="24">
        <f t="shared" si="21"/>
      </c>
      <c r="O64" s="26"/>
      <c r="P64" s="24">
        <f t="shared" si="18"/>
      </c>
      <c r="Q64" s="26"/>
      <c r="R64" s="15"/>
      <c r="S64" s="23">
        <f>IF(S$10=33,1,"")</f>
      </c>
      <c r="T64" s="15"/>
      <c r="U64" s="36">
        <f t="shared" si="5"/>
        <v>0</v>
      </c>
      <c r="V64" s="15">
        <v>5</v>
      </c>
      <c r="W64" s="15" t="str">
        <f t="shared" si="6"/>
        <v>Fhi</v>
      </c>
      <c r="X64" s="37">
        <f t="shared" si="7"/>
      </c>
      <c r="Y64" s="38">
        <f t="shared" si="8"/>
      </c>
      <c r="AC64" s="214">
        <f t="shared" si="9"/>
        <v>7E-05</v>
      </c>
      <c r="AD64" s="2">
        <f t="shared" si="10"/>
        <v>7</v>
      </c>
    </row>
    <row r="65" spans="1:30" ht="13.5">
      <c r="A65" s="3"/>
      <c r="B65" s="34" t="s">
        <v>3</v>
      </c>
      <c r="C65" s="35" t="s">
        <v>11</v>
      </c>
      <c r="D65" s="35" t="s">
        <v>15</v>
      </c>
      <c r="E65" s="20"/>
      <c r="F65" s="15"/>
      <c r="G65" s="24">
        <f t="shared" si="19"/>
      </c>
      <c r="H65" s="23">
        <f>IF(H$10=14,1,"")</f>
      </c>
      <c r="I65" s="21"/>
      <c r="J65" s="22"/>
      <c r="K65" s="26"/>
      <c r="L65" s="15"/>
      <c r="M65" s="23">
        <f>IF(M$10=23,1,"")</f>
      </c>
      <c r="N65" s="16"/>
      <c r="O65" s="26"/>
      <c r="P65" s="24">
        <f t="shared" si="18"/>
      </c>
      <c r="Q65" s="26"/>
      <c r="R65" s="15"/>
      <c r="S65" s="15"/>
      <c r="T65" s="23">
        <f aca="true" t="shared" si="22" ref="T65:T70">IF(T$10=34,1,"")</f>
      </c>
      <c r="U65" s="36">
        <f t="shared" si="5"/>
        <v>0</v>
      </c>
      <c r="V65" s="15">
        <v>5</v>
      </c>
      <c r="W65" s="15" t="str">
        <f t="shared" si="6"/>
        <v>Dkc</v>
      </c>
      <c r="X65" s="37">
        <f t="shared" si="7"/>
      </c>
      <c r="Y65" s="38">
        <f t="shared" si="8"/>
      </c>
      <c r="AC65" s="214">
        <f t="shared" si="9"/>
        <v>6E-05</v>
      </c>
      <c r="AD65" s="2">
        <f t="shared" si="10"/>
        <v>6</v>
      </c>
    </row>
    <row r="66" spans="1:30" ht="13.5">
      <c r="A66" s="3"/>
      <c r="B66" s="34" t="s">
        <v>4</v>
      </c>
      <c r="C66" s="35" t="s">
        <v>11</v>
      </c>
      <c r="D66" s="35" t="s">
        <v>15</v>
      </c>
      <c r="E66" s="20"/>
      <c r="F66" s="15"/>
      <c r="G66" s="24">
        <f t="shared" si="19"/>
      </c>
      <c r="H66" s="21"/>
      <c r="I66" s="23">
        <f>IF(I$10=15,1,"")</f>
      </c>
      <c r="J66" s="22"/>
      <c r="K66" s="26"/>
      <c r="L66" s="15"/>
      <c r="M66" s="23">
        <f>IF(M$10=23,1,"")</f>
      </c>
      <c r="N66" s="16"/>
      <c r="O66" s="26"/>
      <c r="P66" s="24">
        <f t="shared" si="18"/>
      </c>
      <c r="Q66" s="26"/>
      <c r="R66" s="15"/>
      <c r="S66" s="15"/>
      <c r="T66" s="23">
        <f t="shared" si="22"/>
      </c>
      <c r="U66" s="36">
        <f t="shared" si="5"/>
        <v>0</v>
      </c>
      <c r="V66" s="15">
        <v>5</v>
      </c>
      <c r="W66" s="15" t="str">
        <f t="shared" si="6"/>
        <v>Ekc</v>
      </c>
      <c r="X66" s="37">
        <f t="shared" si="7"/>
      </c>
      <c r="Y66" s="38">
        <f t="shared" si="8"/>
      </c>
      <c r="AC66" s="214">
        <f t="shared" si="9"/>
        <v>5E-05</v>
      </c>
      <c r="AD66" s="2">
        <f t="shared" si="10"/>
        <v>5</v>
      </c>
    </row>
    <row r="67" spans="2:30" ht="13.5">
      <c r="B67" s="34" t="s">
        <v>5</v>
      </c>
      <c r="C67" s="35" t="s">
        <v>11</v>
      </c>
      <c r="D67" s="35" t="s">
        <v>15</v>
      </c>
      <c r="E67" s="20"/>
      <c r="F67" s="15"/>
      <c r="G67" s="24">
        <f t="shared" si="19"/>
      </c>
      <c r="H67" s="21"/>
      <c r="I67" s="21"/>
      <c r="J67" s="24">
        <f>IF(J$10=16,1,"")</f>
      </c>
      <c r="K67" s="26"/>
      <c r="L67" s="15"/>
      <c r="M67" s="23">
        <f>IF(M$10=23,1,"")</f>
      </c>
      <c r="N67" s="16"/>
      <c r="O67" s="26"/>
      <c r="P67" s="24">
        <f t="shared" si="18"/>
      </c>
      <c r="Q67" s="26"/>
      <c r="R67" s="15"/>
      <c r="S67" s="15"/>
      <c r="T67" s="23">
        <f t="shared" si="22"/>
      </c>
      <c r="U67" s="36">
        <f t="shared" si="5"/>
        <v>0</v>
      </c>
      <c r="V67" s="15">
        <v>5</v>
      </c>
      <c r="W67" s="15" t="str">
        <f t="shared" si="6"/>
        <v>Fkc</v>
      </c>
      <c r="X67" s="37">
        <f t="shared" si="7"/>
      </c>
      <c r="Y67" s="38">
        <f t="shared" si="8"/>
      </c>
      <c r="AC67" s="214">
        <f t="shared" si="9"/>
        <v>4E-05</v>
      </c>
      <c r="AD67" s="2">
        <f t="shared" si="10"/>
        <v>4</v>
      </c>
    </row>
    <row r="68" spans="2:30" ht="13.5">
      <c r="B68" s="34" t="s">
        <v>3</v>
      </c>
      <c r="C68" s="35" t="s">
        <v>12</v>
      </c>
      <c r="D68" s="35" t="s">
        <v>15</v>
      </c>
      <c r="E68" s="20"/>
      <c r="F68" s="15"/>
      <c r="G68" s="24">
        <f t="shared" si="19"/>
      </c>
      <c r="H68" s="23">
        <f>IF(H$10=14,1,"")</f>
      </c>
      <c r="I68" s="21"/>
      <c r="J68" s="22"/>
      <c r="K68" s="26"/>
      <c r="L68" s="15"/>
      <c r="M68" s="15"/>
      <c r="N68" s="24">
        <f>IF(N$10=24,1,"")</f>
      </c>
      <c r="O68" s="26"/>
      <c r="P68" s="24">
        <f t="shared" si="18"/>
      </c>
      <c r="Q68" s="26"/>
      <c r="R68" s="15"/>
      <c r="S68" s="15"/>
      <c r="T68" s="23">
        <f t="shared" si="22"/>
      </c>
      <c r="U68" s="36">
        <f t="shared" si="5"/>
        <v>0</v>
      </c>
      <c r="V68" s="15">
        <v>5</v>
      </c>
      <c r="W68" s="15" t="str">
        <f t="shared" si="6"/>
        <v>Dhc</v>
      </c>
      <c r="X68" s="37">
        <f t="shared" si="7"/>
      </c>
      <c r="Y68" s="38">
        <f t="shared" si="8"/>
      </c>
      <c r="AC68" s="214">
        <f t="shared" si="9"/>
        <v>3E-05</v>
      </c>
      <c r="AD68" s="2">
        <f t="shared" si="10"/>
        <v>3</v>
      </c>
    </row>
    <row r="69" spans="2:30" ht="13.5">
      <c r="B69" s="34" t="s">
        <v>4</v>
      </c>
      <c r="C69" s="35" t="s">
        <v>12</v>
      </c>
      <c r="D69" s="35" t="s">
        <v>15</v>
      </c>
      <c r="E69" s="20"/>
      <c r="F69" s="15"/>
      <c r="G69" s="24">
        <f t="shared" si="19"/>
      </c>
      <c r="H69" s="21"/>
      <c r="I69" s="23">
        <f>IF(I$10=15,1,"")</f>
      </c>
      <c r="J69" s="22"/>
      <c r="K69" s="26"/>
      <c r="L69" s="15"/>
      <c r="M69" s="15"/>
      <c r="N69" s="24">
        <f>IF(N$10=24,1,"")</f>
      </c>
      <c r="O69" s="26"/>
      <c r="P69" s="24">
        <f t="shared" si="18"/>
      </c>
      <c r="Q69" s="26"/>
      <c r="R69" s="15"/>
      <c r="S69" s="15"/>
      <c r="T69" s="23">
        <f t="shared" si="22"/>
      </c>
      <c r="U69" s="36">
        <f t="shared" si="5"/>
        <v>0</v>
      </c>
      <c r="V69" s="15">
        <v>5</v>
      </c>
      <c r="W69" s="15" t="str">
        <f t="shared" si="6"/>
        <v>Ehc</v>
      </c>
      <c r="X69" s="37">
        <f t="shared" si="7"/>
      </c>
      <c r="Y69" s="38">
        <f t="shared" si="8"/>
      </c>
      <c r="AC69" s="214">
        <f t="shared" si="9"/>
        <v>2E-05</v>
      </c>
      <c r="AD69" s="2">
        <f t="shared" si="10"/>
        <v>2</v>
      </c>
    </row>
    <row r="70" spans="2:30" ht="13.5">
      <c r="B70" s="39" t="s">
        <v>5</v>
      </c>
      <c r="C70" s="40" t="s">
        <v>12</v>
      </c>
      <c r="D70" s="40" t="s">
        <v>15</v>
      </c>
      <c r="E70" s="29"/>
      <c r="F70" s="17"/>
      <c r="G70" s="25">
        <f t="shared" si="19"/>
      </c>
      <c r="H70" s="30"/>
      <c r="I70" s="30"/>
      <c r="J70" s="25">
        <f>IF(J$10=16,1,"")</f>
      </c>
      <c r="K70" s="27"/>
      <c r="L70" s="17"/>
      <c r="M70" s="17"/>
      <c r="N70" s="25">
        <f>IF(N$10=24,1,"")</f>
      </c>
      <c r="O70" s="27"/>
      <c r="P70" s="25">
        <f t="shared" si="18"/>
      </c>
      <c r="Q70" s="27"/>
      <c r="R70" s="17"/>
      <c r="S70" s="17"/>
      <c r="T70" s="79">
        <f t="shared" si="22"/>
      </c>
      <c r="U70" s="41">
        <f t="shared" si="5"/>
        <v>0</v>
      </c>
      <c r="V70" s="17">
        <v>5</v>
      </c>
      <c r="W70" s="17" t="str">
        <f t="shared" si="6"/>
        <v>Fhc</v>
      </c>
      <c r="X70" s="42">
        <f t="shared" si="7"/>
      </c>
      <c r="Y70" s="43">
        <f t="shared" si="8"/>
      </c>
      <c r="AC70" s="214">
        <f t="shared" si="9"/>
        <v>1E-05</v>
      </c>
      <c r="AD70" s="2">
        <f t="shared" si="10"/>
        <v>1</v>
      </c>
    </row>
  </sheetData>
  <sheetProtection password="DBD9" sheet="1" objects="1" scenarios="1" selectLockedCells="1"/>
  <autoFilter ref="B10:Y70"/>
  <mergeCells count="11">
    <mergeCell ref="H2:J2"/>
    <mergeCell ref="K2:N2"/>
    <mergeCell ref="K3:N3"/>
    <mergeCell ref="H3:J3"/>
    <mergeCell ref="E3:G3"/>
    <mergeCell ref="B1:T1"/>
    <mergeCell ref="O2:P2"/>
    <mergeCell ref="O3:P3"/>
    <mergeCell ref="Q2:T2"/>
    <mergeCell ref="Q3:T3"/>
    <mergeCell ref="E2:G2"/>
  </mergeCells>
  <conditionalFormatting sqref="U11:U70">
    <cfRule type="cellIs" priority="1" dxfId="0" operator="equal" stopIfTrue="1">
      <formula>V11</formula>
    </cfRule>
  </conditionalFormatting>
  <printOptions horizontalCentered="1"/>
  <pageMargins left="0.6299212598425197" right="0.5511811023622047" top="0.6299212598425197" bottom="0.6299212598425197" header="0.3937007874015748" footer="0.3937007874015748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1" width="9.140625" style="0" customWidth="1"/>
    <col min="12" max="12" width="11.7109375" style="0" customWidth="1"/>
  </cols>
  <sheetData>
    <row r="44" ht="6" customHeight="1"/>
  </sheetData>
  <sheetProtection password="DBD9" sheet="1" objects="1" scenarios="1" selectLockedCells="1"/>
  <printOptions horizontalCentered="1"/>
  <pageMargins left="0.6299212598425197" right="0.6299212598425197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9"/>
  <sheetViews>
    <sheetView showGridLines="0" zoomScalePageLayoutView="0" workbookViewId="0" topLeftCell="A1">
      <selection activeCell="P1" sqref="P1"/>
    </sheetView>
  </sheetViews>
  <sheetFormatPr defaultColWidth="9.140625" defaultRowHeight="12.75"/>
  <cols>
    <col min="1" max="1" width="9.140625" style="0" customWidth="1"/>
    <col min="2" max="3" width="2.7109375" style="0" customWidth="1"/>
    <col min="4" max="11" width="9.140625" style="0" customWidth="1"/>
    <col min="12" max="13" width="2.7109375" style="1" customWidth="1"/>
    <col min="14" max="14" width="9.140625" style="0" customWidth="1"/>
    <col min="15" max="16" width="5.7109375" style="0" customWidth="1"/>
    <col min="17" max="17" width="13.7109375" style="0" bestFit="1" customWidth="1"/>
    <col min="18" max="18" width="7.7109375" style="0" bestFit="1" customWidth="1"/>
    <col min="19" max="19" width="6.7109375" style="0" bestFit="1" customWidth="1"/>
    <col min="20" max="20" width="15.421875" style="0" bestFit="1" customWidth="1"/>
    <col min="21" max="21" width="22.00390625" style="0" bestFit="1" customWidth="1"/>
    <col min="22" max="22" width="25.140625" style="0" bestFit="1" customWidth="1"/>
    <col min="23" max="23" width="22.00390625" style="0" bestFit="1" customWidth="1"/>
    <col min="24" max="24" width="10.421875" style="0" bestFit="1" customWidth="1"/>
    <col min="25" max="25" width="12.00390625" style="0" bestFit="1" customWidth="1"/>
    <col min="26" max="26" width="10.8515625" style="0" customWidth="1"/>
    <col min="27" max="27" width="10.421875" style="0" bestFit="1" customWidth="1"/>
    <col min="28" max="28" width="10.00390625" style="0" bestFit="1" customWidth="1"/>
    <col min="29" max="29" width="14.57421875" style="0" bestFit="1" customWidth="1"/>
    <col min="30" max="31" width="22.57421875" style="0" bestFit="1" customWidth="1"/>
    <col min="32" max="32" width="13.00390625" style="0" bestFit="1" customWidth="1"/>
    <col min="33" max="33" width="6.140625" style="0" bestFit="1" customWidth="1"/>
    <col min="34" max="34" width="5.421875" style="0" bestFit="1" customWidth="1"/>
    <col min="35" max="35" width="11.140625" style="0" bestFit="1" customWidth="1"/>
    <col min="36" max="36" width="8.421875" style="0" bestFit="1" customWidth="1"/>
    <col min="37" max="37" width="7.7109375" style="0" bestFit="1" customWidth="1"/>
    <col min="38" max="38" width="25.140625" style="0" bestFit="1" customWidth="1"/>
    <col min="39" max="39" width="10.8515625" style="0" customWidth="1"/>
    <col min="40" max="40" width="22.57421875" style="0" bestFit="1" customWidth="1"/>
    <col min="41" max="41" width="11.140625" style="0" bestFit="1" customWidth="1"/>
  </cols>
  <sheetData>
    <row r="1" spans="2:16" ht="13.5" thickBot="1">
      <c r="B1" s="101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187"/>
      <c r="O1" s="109" t="str">
        <f ca="1">OFFSET(O9,MATCH(P1,P10:P69),0)</f>
        <v>Fhc</v>
      </c>
      <c r="P1" s="200">
        <v>60</v>
      </c>
    </row>
    <row r="2" spans="2:13" ht="12.75" thickTop="1">
      <c r="B2" s="103"/>
      <c r="C2" s="163"/>
      <c r="D2" s="164"/>
      <c r="E2" s="164"/>
      <c r="F2" s="164"/>
      <c r="G2" s="164"/>
      <c r="H2" s="164"/>
      <c r="I2" s="164"/>
      <c r="J2" s="164"/>
      <c r="K2" s="164"/>
      <c r="L2" s="165"/>
      <c r="M2" s="188"/>
    </row>
    <row r="3" spans="2:13" ht="12.75">
      <c r="B3" s="103"/>
      <c r="C3" s="166"/>
      <c r="D3" s="304" t="s">
        <v>121</v>
      </c>
      <c r="E3" s="304"/>
      <c r="F3" s="304"/>
      <c r="G3" s="304"/>
      <c r="H3" s="304"/>
      <c r="I3" s="304"/>
      <c r="J3" s="304"/>
      <c r="K3" s="304"/>
      <c r="L3" s="167"/>
      <c r="M3" s="188"/>
    </row>
    <row r="4" spans="2:13" ht="12">
      <c r="B4" s="103"/>
      <c r="C4" s="166"/>
      <c r="D4" s="305" t="s">
        <v>122</v>
      </c>
      <c r="E4" s="305"/>
      <c r="F4" s="305"/>
      <c r="G4" s="305"/>
      <c r="H4" s="305"/>
      <c r="I4" s="305"/>
      <c r="J4" s="305"/>
      <c r="K4" s="305"/>
      <c r="L4" s="167"/>
      <c r="M4" s="188"/>
    </row>
    <row r="5" spans="2:13" ht="12">
      <c r="B5" s="103"/>
      <c r="C5" s="166"/>
      <c r="D5" s="104"/>
      <c r="E5" s="104"/>
      <c r="F5" s="104"/>
      <c r="G5" s="104"/>
      <c r="H5" s="104"/>
      <c r="I5" s="104"/>
      <c r="J5" s="104"/>
      <c r="K5" s="104"/>
      <c r="L5" s="168"/>
      <c r="M5" s="189"/>
    </row>
    <row r="6" spans="2:13" ht="12">
      <c r="B6" s="103"/>
      <c r="C6" s="166"/>
      <c r="D6" s="169" t="s">
        <v>115</v>
      </c>
      <c r="E6" s="104"/>
      <c r="F6" s="104"/>
      <c r="G6" s="104"/>
      <c r="H6" s="104"/>
      <c r="I6" s="104"/>
      <c r="J6" s="170" t="s">
        <v>46</v>
      </c>
      <c r="K6" s="171"/>
      <c r="L6" s="172"/>
      <c r="M6" s="190"/>
    </row>
    <row r="7" spans="2:13" ht="12.75">
      <c r="B7" s="103"/>
      <c r="C7" s="166"/>
      <c r="D7" s="123" t="str">
        <f>O1</f>
        <v>Fhc</v>
      </c>
      <c r="E7" s="110"/>
      <c r="F7" s="111"/>
      <c r="G7" s="110"/>
      <c r="H7" s="111"/>
      <c r="I7" s="110"/>
      <c r="J7" s="111"/>
      <c r="K7" s="124">
        <f>P1</f>
        <v>60</v>
      </c>
      <c r="L7" s="172"/>
      <c r="M7" s="190"/>
    </row>
    <row r="8" spans="2:13" ht="12">
      <c r="B8" s="103"/>
      <c r="C8" s="166"/>
      <c r="D8" s="112"/>
      <c r="E8" s="113"/>
      <c r="F8" s="114"/>
      <c r="G8" s="113"/>
      <c r="H8" s="114"/>
      <c r="I8" s="113"/>
      <c r="J8" s="114"/>
      <c r="K8" s="115"/>
      <c r="L8" s="172"/>
      <c r="M8" s="190"/>
    </row>
    <row r="9" spans="2:13" ht="12.75" thickBot="1">
      <c r="B9" s="103"/>
      <c r="C9" s="166"/>
      <c r="D9" s="112"/>
      <c r="E9" s="113"/>
      <c r="F9" s="114"/>
      <c r="G9" s="113"/>
      <c r="H9" s="114"/>
      <c r="I9" s="113"/>
      <c r="J9" s="114"/>
      <c r="K9" s="115"/>
      <c r="L9" s="172"/>
      <c r="M9" s="190"/>
    </row>
    <row r="10" spans="2:41" ht="12.75">
      <c r="B10" s="103"/>
      <c r="C10" s="166"/>
      <c r="D10" s="112"/>
      <c r="E10" s="113"/>
      <c r="F10" s="114"/>
      <c r="G10" s="113"/>
      <c r="H10" s="114"/>
      <c r="I10" s="113"/>
      <c r="J10" s="114"/>
      <c r="K10" s="115"/>
      <c r="L10" s="172"/>
      <c r="M10" s="190"/>
      <c r="O10" s="108" t="s">
        <v>48</v>
      </c>
      <c r="P10" s="108">
        <v>1</v>
      </c>
      <c r="Q10" s="125" t="s">
        <v>16</v>
      </c>
      <c r="R10" s="126" t="s">
        <v>17</v>
      </c>
      <c r="S10" s="127"/>
      <c r="T10" s="128" t="s">
        <v>21</v>
      </c>
      <c r="U10" s="129"/>
      <c r="V10" s="129"/>
      <c r="W10" s="130"/>
      <c r="X10" s="125" t="s">
        <v>26</v>
      </c>
      <c r="Y10" s="131" t="s">
        <v>27</v>
      </c>
      <c r="Z10" s="131"/>
      <c r="AA10" s="131"/>
      <c r="AB10" s="132"/>
      <c r="AC10" s="125" t="s">
        <v>32</v>
      </c>
      <c r="AD10" s="133"/>
      <c r="AE10" s="134"/>
      <c r="AF10" s="125" t="s">
        <v>44</v>
      </c>
      <c r="AG10" s="135" t="s">
        <v>37</v>
      </c>
      <c r="AH10" s="135"/>
      <c r="AI10" s="135"/>
      <c r="AJ10" s="136"/>
      <c r="AK10" t="str">
        <f>CONCATENATE(R10,S10)</f>
        <v>Unipolar</v>
      </c>
      <c r="AL10">
        <f>CONCATENATE(U10,V10,W10)</f>
      </c>
      <c r="AM10">
        <f>CONCATENATE(Z10,AA10,AB10)</f>
      </c>
      <c r="AN10">
        <f>CONCATENATE(AD10,AE10)</f>
      </c>
      <c r="AO10" t="str">
        <f>CONCATENATE(AG10,AH10,AI10,AJ10)</f>
        <v>Single</v>
      </c>
    </row>
    <row r="11" spans="2:41" ht="12.75">
      <c r="B11" s="103"/>
      <c r="C11" s="166"/>
      <c r="D11" s="116"/>
      <c r="E11" s="117"/>
      <c r="F11" s="118"/>
      <c r="G11" s="117"/>
      <c r="H11" s="118"/>
      <c r="I11" s="117"/>
      <c r="J11" s="118"/>
      <c r="K11" s="119"/>
      <c r="L11" s="173"/>
      <c r="M11" s="191"/>
      <c r="O11" s="108" t="s">
        <v>52</v>
      </c>
      <c r="P11" s="108">
        <v>2</v>
      </c>
      <c r="Q11" s="137" t="s">
        <v>16</v>
      </c>
      <c r="R11" s="138"/>
      <c r="S11" s="139" t="s">
        <v>19</v>
      </c>
      <c r="T11" s="140" t="s">
        <v>21</v>
      </c>
      <c r="U11" s="141"/>
      <c r="V11" s="141"/>
      <c r="W11" s="142"/>
      <c r="X11" s="137" t="s">
        <v>26</v>
      </c>
      <c r="Y11" s="143" t="s">
        <v>27</v>
      </c>
      <c r="Z11" s="143"/>
      <c r="AA11" s="143"/>
      <c r="AB11" s="144"/>
      <c r="AC11" s="137" t="s">
        <v>32</v>
      </c>
      <c r="AD11" s="145"/>
      <c r="AE11" s="146"/>
      <c r="AF11" s="137" t="s">
        <v>44</v>
      </c>
      <c r="AG11" s="147"/>
      <c r="AH11" s="147" t="s">
        <v>38</v>
      </c>
      <c r="AI11" s="147"/>
      <c r="AJ11" s="148"/>
      <c r="AK11" t="str">
        <f aca="true" t="shared" si="0" ref="AK11:AK69">CONCATENATE(R11,S11)</f>
        <v>Bipolar</v>
      </c>
      <c r="AL11">
        <f aca="true" t="shared" si="1" ref="AL11:AL69">CONCATENATE(U11,V11,W11)</f>
      </c>
      <c r="AM11">
        <f aca="true" t="shared" si="2" ref="AM11:AM69">CONCATENATE(Z11,AA11,AB11)</f>
      </c>
      <c r="AN11">
        <f aca="true" t="shared" si="3" ref="AN11:AN69">CONCATENATE(AD11,AE11)</f>
      </c>
      <c r="AO11" t="str">
        <f aca="true" t="shared" si="4" ref="AO11:AO69">CONCATENATE(AG11,AH11,AI11,AJ11)</f>
        <v>Open</v>
      </c>
    </row>
    <row r="12" spans="2:41" ht="12.75">
      <c r="B12" s="103"/>
      <c r="C12" s="166"/>
      <c r="D12" s="120"/>
      <c r="E12" s="120"/>
      <c r="F12" s="120"/>
      <c r="G12" s="120"/>
      <c r="H12" s="120"/>
      <c r="I12" s="120"/>
      <c r="J12" s="120"/>
      <c r="K12" s="120"/>
      <c r="L12" s="174"/>
      <c r="M12" s="192"/>
      <c r="O12" s="108" t="s">
        <v>53</v>
      </c>
      <c r="P12" s="108">
        <v>3</v>
      </c>
      <c r="Q12" s="137" t="s">
        <v>16</v>
      </c>
      <c r="R12" s="138"/>
      <c r="S12" s="139" t="s">
        <v>19</v>
      </c>
      <c r="T12" s="140" t="s">
        <v>21</v>
      </c>
      <c r="U12" s="141"/>
      <c r="V12" s="141"/>
      <c r="W12" s="142"/>
      <c r="X12" s="137" t="s">
        <v>26</v>
      </c>
      <c r="Y12" s="143" t="s">
        <v>27</v>
      </c>
      <c r="Z12" s="143"/>
      <c r="AA12" s="143"/>
      <c r="AB12" s="144"/>
      <c r="AC12" s="137" t="s">
        <v>32</v>
      </c>
      <c r="AD12" s="145"/>
      <c r="AE12" s="146"/>
      <c r="AF12" s="137" t="s">
        <v>44</v>
      </c>
      <c r="AG12" s="147"/>
      <c r="AH12" s="147"/>
      <c r="AI12" s="147" t="s">
        <v>39</v>
      </c>
      <c r="AJ12" s="148"/>
      <c r="AK12" t="str">
        <f t="shared" si="0"/>
        <v>Bipolar</v>
      </c>
      <c r="AL12">
        <f t="shared" si="1"/>
      </c>
      <c r="AM12">
        <f t="shared" si="2"/>
      </c>
      <c r="AN12">
        <f t="shared" si="3"/>
      </c>
      <c r="AO12" t="str">
        <f t="shared" si="4"/>
        <v>Intermediate</v>
      </c>
    </row>
    <row r="13" spans="2:41" ht="12.75">
      <c r="B13" s="103"/>
      <c r="C13" s="166"/>
      <c r="D13" s="121"/>
      <c r="E13" s="306">
        <v>15</v>
      </c>
      <c r="F13" s="306"/>
      <c r="G13" s="306">
        <v>10</v>
      </c>
      <c r="H13" s="306"/>
      <c r="I13" s="306">
        <v>5</v>
      </c>
      <c r="J13" s="306"/>
      <c r="K13" s="122">
        <v>0</v>
      </c>
      <c r="L13" s="175"/>
      <c r="M13" s="193"/>
      <c r="O13" s="108" t="s">
        <v>54</v>
      </c>
      <c r="P13" s="108">
        <v>4</v>
      </c>
      <c r="Q13" s="137" t="s">
        <v>16</v>
      </c>
      <c r="R13" s="138"/>
      <c r="S13" s="139" t="s">
        <v>19</v>
      </c>
      <c r="T13" s="140" t="s">
        <v>21</v>
      </c>
      <c r="U13" s="141"/>
      <c r="V13" s="141"/>
      <c r="W13" s="142"/>
      <c r="X13" s="137" t="s">
        <v>26</v>
      </c>
      <c r="Y13" s="143"/>
      <c r="Z13" s="143" t="s">
        <v>28</v>
      </c>
      <c r="AA13" s="143"/>
      <c r="AB13" s="144"/>
      <c r="AC13" s="137" t="s">
        <v>32</v>
      </c>
      <c r="AD13" s="145"/>
      <c r="AE13" s="146"/>
      <c r="AF13" s="137" t="s">
        <v>44</v>
      </c>
      <c r="AG13" s="147" t="s">
        <v>37</v>
      </c>
      <c r="AH13" s="147"/>
      <c r="AI13" s="147"/>
      <c r="AJ13" s="148"/>
      <c r="AK13" t="str">
        <f t="shared" si="0"/>
        <v>Bipolar</v>
      </c>
      <c r="AL13">
        <f t="shared" si="1"/>
      </c>
      <c r="AM13" t="str">
        <f t="shared" si="2"/>
        <v>Rudimentary</v>
      </c>
      <c r="AN13">
        <f t="shared" si="3"/>
      </c>
      <c r="AO13" t="str">
        <f t="shared" si="4"/>
        <v>Single</v>
      </c>
    </row>
    <row r="14" spans="2:41" ht="12.75">
      <c r="B14" s="103"/>
      <c r="C14" s="166"/>
      <c r="D14" s="181"/>
      <c r="E14" s="182"/>
      <c r="F14" s="182"/>
      <c r="G14" s="182"/>
      <c r="H14" s="182"/>
      <c r="I14" s="182"/>
      <c r="J14" s="307">
        <v>2.5</v>
      </c>
      <c r="K14" s="308"/>
      <c r="L14" s="167"/>
      <c r="M14" s="188"/>
      <c r="O14" s="108" t="s">
        <v>55</v>
      </c>
      <c r="P14" s="108">
        <v>5</v>
      </c>
      <c r="Q14" s="137" t="s">
        <v>16</v>
      </c>
      <c r="R14" s="138"/>
      <c r="S14" s="139" t="s">
        <v>19</v>
      </c>
      <c r="T14" s="140" t="s">
        <v>21</v>
      </c>
      <c r="U14" s="141"/>
      <c r="V14" s="141"/>
      <c r="W14" s="142"/>
      <c r="X14" s="137" t="s">
        <v>26</v>
      </c>
      <c r="Y14" s="143"/>
      <c r="Z14" s="143" t="s">
        <v>28</v>
      </c>
      <c r="AA14" s="143"/>
      <c r="AB14" s="144"/>
      <c r="AC14" s="137" t="s">
        <v>32</v>
      </c>
      <c r="AD14" s="145"/>
      <c r="AE14" s="146"/>
      <c r="AF14" s="137" t="s">
        <v>44</v>
      </c>
      <c r="AG14" s="147"/>
      <c r="AH14" s="147" t="s">
        <v>38</v>
      </c>
      <c r="AI14" s="147"/>
      <c r="AJ14" s="148"/>
      <c r="AK14" t="str">
        <f t="shared" si="0"/>
        <v>Bipolar</v>
      </c>
      <c r="AL14">
        <f t="shared" si="1"/>
      </c>
      <c r="AM14" t="str">
        <f t="shared" si="2"/>
        <v>Rudimentary</v>
      </c>
      <c r="AN14">
        <f t="shared" si="3"/>
      </c>
      <c r="AO14" t="str">
        <f t="shared" si="4"/>
        <v>Open</v>
      </c>
    </row>
    <row r="15" spans="2:41" ht="12.75">
      <c r="B15" s="103"/>
      <c r="C15" s="166"/>
      <c r="D15" s="303" t="s">
        <v>114</v>
      </c>
      <c r="E15" s="303"/>
      <c r="F15" s="303"/>
      <c r="G15" s="303"/>
      <c r="H15" s="303"/>
      <c r="I15" s="303"/>
      <c r="J15" s="303"/>
      <c r="K15" s="303"/>
      <c r="L15" s="167"/>
      <c r="M15" s="188"/>
      <c r="O15" s="108" t="s">
        <v>56</v>
      </c>
      <c r="P15" s="108">
        <v>6</v>
      </c>
      <c r="Q15" s="137" t="s">
        <v>16</v>
      </c>
      <c r="R15" s="138"/>
      <c r="S15" s="139" t="s">
        <v>19</v>
      </c>
      <c r="T15" s="140" t="s">
        <v>21</v>
      </c>
      <c r="U15" s="141"/>
      <c r="V15" s="141"/>
      <c r="W15" s="142"/>
      <c r="X15" s="137" t="s">
        <v>26</v>
      </c>
      <c r="Y15" s="143"/>
      <c r="Z15" s="143" t="s">
        <v>28</v>
      </c>
      <c r="AA15" s="143"/>
      <c r="AB15" s="144"/>
      <c r="AC15" s="137" t="s">
        <v>32</v>
      </c>
      <c r="AD15" s="145"/>
      <c r="AE15" s="146"/>
      <c r="AF15" s="137" t="s">
        <v>44</v>
      </c>
      <c r="AG15" s="147"/>
      <c r="AH15" s="147"/>
      <c r="AI15" s="147" t="s">
        <v>39</v>
      </c>
      <c r="AJ15" s="148"/>
      <c r="AK15" t="str">
        <f t="shared" si="0"/>
        <v>Bipolar</v>
      </c>
      <c r="AL15">
        <f t="shared" si="1"/>
      </c>
      <c r="AM15" t="str">
        <f t="shared" si="2"/>
        <v>Rudimentary</v>
      </c>
      <c r="AN15">
        <f t="shared" si="3"/>
      </c>
      <c r="AO15" t="str">
        <f t="shared" si="4"/>
        <v>Intermediate</v>
      </c>
    </row>
    <row r="16" spans="2:41" ht="12.75">
      <c r="B16" s="103"/>
      <c r="C16" s="166"/>
      <c r="D16" s="104"/>
      <c r="E16" s="104"/>
      <c r="F16" s="104"/>
      <c r="G16" s="104"/>
      <c r="H16" s="104"/>
      <c r="I16" s="104"/>
      <c r="J16" s="104"/>
      <c r="K16" s="104"/>
      <c r="L16" s="167"/>
      <c r="M16" s="188"/>
      <c r="O16" s="108" t="s">
        <v>57</v>
      </c>
      <c r="P16" s="108">
        <v>7</v>
      </c>
      <c r="Q16" s="137" t="s">
        <v>16</v>
      </c>
      <c r="R16" s="138" t="s">
        <v>17</v>
      </c>
      <c r="S16" s="139"/>
      <c r="T16" s="140" t="s">
        <v>21</v>
      </c>
      <c r="U16" s="141"/>
      <c r="V16" s="141"/>
      <c r="W16" s="142"/>
      <c r="X16" s="137" t="s">
        <v>26</v>
      </c>
      <c r="Y16" s="143"/>
      <c r="Z16" s="143"/>
      <c r="AA16" s="143" t="s">
        <v>29</v>
      </c>
      <c r="AB16" s="144"/>
      <c r="AC16" s="137" t="s">
        <v>32</v>
      </c>
      <c r="AD16" s="145" t="s">
        <v>119</v>
      </c>
      <c r="AE16" s="146"/>
      <c r="AF16" s="137" t="s">
        <v>44</v>
      </c>
      <c r="AG16" s="147" t="s">
        <v>37</v>
      </c>
      <c r="AH16" s="147"/>
      <c r="AI16" s="147"/>
      <c r="AJ16" s="148"/>
      <c r="AK16" t="str">
        <f t="shared" si="0"/>
        <v>Unipolar</v>
      </c>
      <c r="AL16">
        <f t="shared" si="1"/>
      </c>
      <c r="AM16" t="str">
        <f t="shared" si="2"/>
        <v>Assymetric</v>
      </c>
      <c r="AN16" t="str">
        <f t="shared" si="3"/>
        <v>&lt;2,5 heliographic degrees</v>
      </c>
      <c r="AO16" t="str">
        <f t="shared" si="4"/>
        <v>Single</v>
      </c>
    </row>
    <row r="17" spans="1:41" ht="12.75">
      <c r="A17" s="161">
        <v>0</v>
      </c>
      <c r="B17" s="103"/>
      <c r="C17" s="166"/>
      <c r="D17" s="162" t="s">
        <v>16</v>
      </c>
      <c r="E17" s="176"/>
      <c r="F17" s="177" t="str">
        <f ca="1">OFFSET($AK$9,$P$1,A17)</f>
        <v>Bipolar</v>
      </c>
      <c r="G17" s="104"/>
      <c r="H17" s="104"/>
      <c r="I17" s="104"/>
      <c r="J17" s="104"/>
      <c r="K17" s="104"/>
      <c r="L17" s="167"/>
      <c r="M17" s="188"/>
      <c r="O17" s="108" t="s">
        <v>58</v>
      </c>
      <c r="P17" s="108">
        <v>8</v>
      </c>
      <c r="Q17" s="137" t="s">
        <v>16</v>
      </c>
      <c r="R17" s="138"/>
      <c r="S17" s="139" t="s">
        <v>19</v>
      </c>
      <c r="T17" s="140" t="s">
        <v>21</v>
      </c>
      <c r="U17" s="141"/>
      <c r="V17" s="141"/>
      <c r="W17" s="142"/>
      <c r="X17" s="137" t="s">
        <v>26</v>
      </c>
      <c r="Y17" s="143"/>
      <c r="Z17" s="143"/>
      <c r="AA17" s="143" t="s">
        <v>29</v>
      </c>
      <c r="AB17" s="144"/>
      <c r="AC17" s="137" t="s">
        <v>32</v>
      </c>
      <c r="AD17" s="145" t="s">
        <v>119</v>
      </c>
      <c r="AE17" s="146"/>
      <c r="AF17" s="137" t="s">
        <v>44</v>
      </c>
      <c r="AG17" s="147"/>
      <c r="AH17" s="147" t="s">
        <v>38</v>
      </c>
      <c r="AI17" s="147"/>
      <c r="AJ17" s="148"/>
      <c r="AK17" t="str">
        <f t="shared" si="0"/>
        <v>Bipolar</v>
      </c>
      <c r="AL17">
        <f t="shared" si="1"/>
      </c>
      <c r="AM17" t="str">
        <f t="shared" si="2"/>
        <v>Assymetric</v>
      </c>
      <c r="AN17" t="str">
        <f t="shared" si="3"/>
        <v>&lt;2,5 heliographic degrees</v>
      </c>
      <c r="AO17" t="str">
        <f t="shared" si="4"/>
        <v>Open</v>
      </c>
    </row>
    <row r="18" spans="1:41" ht="12.75">
      <c r="A18" s="161">
        <v>1</v>
      </c>
      <c r="B18" s="103"/>
      <c r="C18" s="166"/>
      <c r="D18" s="162" t="s">
        <v>21</v>
      </c>
      <c r="E18" s="176"/>
      <c r="F18" s="177" t="str">
        <f ca="1">OFFSET($AK$9,$P$1,A18)</f>
        <v>&gt;15 heliographic degrees</v>
      </c>
      <c r="G18" s="104"/>
      <c r="H18" s="104"/>
      <c r="I18" s="104"/>
      <c r="J18" s="104"/>
      <c r="K18" s="104"/>
      <c r="L18" s="167"/>
      <c r="M18" s="188"/>
      <c r="O18" s="108" t="s">
        <v>59</v>
      </c>
      <c r="P18" s="108">
        <v>9</v>
      </c>
      <c r="Q18" s="137" t="s">
        <v>16</v>
      </c>
      <c r="R18" s="138"/>
      <c r="S18" s="139" t="s">
        <v>19</v>
      </c>
      <c r="T18" s="140" t="s">
        <v>21</v>
      </c>
      <c r="U18" s="141"/>
      <c r="V18" s="141"/>
      <c r="W18" s="142"/>
      <c r="X18" s="137" t="s">
        <v>26</v>
      </c>
      <c r="Y18" s="143"/>
      <c r="Z18" s="143"/>
      <c r="AA18" s="143" t="s">
        <v>29</v>
      </c>
      <c r="AB18" s="144"/>
      <c r="AC18" s="137" t="s">
        <v>32</v>
      </c>
      <c r="AD18" s="145" t="s">
        <v>119</v>
      </c>
      <c r="AE18" s="146"/>
      <c r="AF18" s="137" t="s">
        <v>44</v>
      </c>
      <c r="AG18" s="147"/>
      <c r="AH18" s="147"/>
      <c r="AI18" s="147" t="s">
        <v>39</v>
      </c>
      <c r="AJ18" s="148"/>
      <c r="AK18" t="str">
        <f t="shared" si="0"/>
        <v>Bipolar</v>
      </c>
      <c r="AL18">
        <f t="shared" si="1"/>
      </c>
      <c r="AM18" t="str">
        <f t="shared" si="2"/>
        <v>Assymetric</v>
      </c>
      <c r="AN18" t="str">
        <f t="shared" si="3"/>
        <v>&lt;2,5 heliographic degrees</v>
      </c>
      <c r="AO18" t="str">
        <f t="shared" si="4"/>
        <v>Intermediate</v>
      </c>
    </row>
    <row r="19" spans="1:41" ht="12.75">
      <c r="A19" s="161">
        <v>2</v>
      </c>
      <c r="B19" s="103"/>
      <c r="C19" s="166"/>
      <c r="D19" s="162" t="s">
        <v>26</v>
      </c>
      <c r="E19" s="176"/>
      <c r="F19" s="177" t="str">
        <f ca="1">OFFSET($AK$9,$P$1,A19)</f>
        <v>Symmetric</v>
      </c>
      <c r="G19" s="104"/>
      <c r="H19" s="104"/>
      <c r="I19" s="104"/>
      <c r="J19" s="104"/>
      <c r="K19" s="104"/>
      <c r="L19" s="167"/>
      <c r="M19" s="188"/>
      <c r="O19" s="108" t="s">
        <v>60</v>
      </c>
      <c r="P19" s="108">
        <v>10</v>
      </c>
      <c r="Q19" s="137" t="s">
        <v>16</v>
      </c>
      <c r="R19" s="138" t="s">
        <v>17</v>
      </c>
      <c r="S19" s="139"/>
      <c r="T19" s="140" t="s">
        <v>21</v>
      </c>
      <c r="U19" s="141"/>
      <c r="V19" s="141"/>
      <c r="W19" s="142"/>
      <c r="X19" s="137" t="s">
        <v>26</v>
      </c>
      <c r="Y19" s="143"/>
      <c r="Z19" s="143"/>
      <c r="AA19" s="143"/>
      <c r="AB19" s="144" t="s">
        <v>30</v>
      </c>
      <c r="AC19" s="137" t="s">
        <v>32</v>
      </c>
      <c r="AD19" s="145" t="s">
        <v>119</v>
      </c>
      <c r="AE19" s="146"/>
      <c r="AF19" s="137" t="s">
        <v>44</v>
      </c>
      <c r="AG19" s="147" t="s">
        <v>37</v>
      </c>
      <c r="AH19" s="147"/>
      <c r="AI19" s="147"/>
      <c r="AJ19" s="148"/>
      <c r="AK19" t="str">
        <f t="shared" si="0"/>
        <v>Unipolar</v>
      </c>
      <c r="AL19">
        <f t="shared" si="1"/>
      </c>
      <c r="AM19" t="str">
        <f t="shared" si="2"/>
        <v>Symmetric</v>
      </c>
      <c r="AN19" t="str">
        <f t="shared" si="3"/>
        <v>&lt;2,5 heliographic degrees</v>
      </c>
      <c r="AO19" t="str">
        <f t="shared" si="4"/>
        <v>Single</v>
      </c>
    </row>
    <row r="20" spans="1:41" ht="12.75">
      <c r="A20" s="161">
        <v>3</v>
      </c>
      <c r="B20" s="103"/>
      <c r="C20" s="166"/>
      <c r="D20" s="162" t="s">
        <v>32</v>
      </c>
      <c r="E20" s="176"/>
      <c r="F20" s="177" t="str">
        <f ca="1">OFFSET($AK$9,$P$1,A20)</f>
        <v>&gt;2,5 heliographic degrees</v>
      </c>
      <c r="G20" s="104"/>
      <c r="H20" s="104"/>
      <c r="I20" s="104"/>
      <c r="J20" s="104"/>
      <c r="K20" s="104"/>
      <c r="L20" s="167"/>
      <c r="M20" s="188"/>
      <c r="O20" s="108" t="s">
        <v>61</v>
      </c>
      <c r="P20" s="108">
        <v>11</v>
      </c>
      <c r="Q20" s="137" t="s">
        <v>16</v>
      </c>
      <c r="R20" s="138"/>
      <c r="S20" s="139" t="s">
        <v>19</v>
      </c>
      <c r="T20" s="140" t="s">
        <v>21</v>
      </c>
      <c r="U20" s="141"/>
      <c r="V20" s="141"/>
      <c r="W20" s="142"/>
      <c r="X20" s="137" t="s">
        <v>26</v>
      </c>
      <c r="Y20" s="143"/>
      <c r="Z20" s="143"/>
      <c r="AA20" s="143"/>
      <c r="AB20" s="144" t="s">
        <v>30</v>
      </c>
      <c r="AC20" s="137" t="s">
        <v>32</v>
      </c>
      <c r="AD20" s="145" t="s">
        <v>119</v>
      </c>
      <c r="AE20" s="146"/>
      <c r="AF20" s="137" t="s">
        <v>44</v>
      </c>
      <c r="AG20" s="147"/>
      <c r="AH20" s="147" t="s">
        <v>38</v>
      </c>
      <c r="AI20" s="147"/>
      <c r="AJ20" s="148"/>
      <c r="AK20" t="str">
        <f t="shared" si="0"/>
        <v>Bipolar</v>
      </c>
      <c r="AL20">
        <f t="shared" si="1"/>
      </c>
      <c r="AM20" t="str">
        <f t="shared" si="2"/>
        <v>Symmetric</v>
      </c>
      <c r="AN20" t="str">
        <f t="shared" si="3"/>
        <v>&lt;2,5 heliographic degrees</v>
      </c>
      <c r="AO20" t="str">
        <f t="shared" si="4"/>
        <v>Open</v>
      </c>
    </row>
    <row r="21" spans="1:41" ht="12.75">
      <c r="A21" s="161">
        <v>4</v>
      </c>
      <c r="B21" s="103"/>
      <c r="C21" s="166"/>
      <c r="D21" s="162" t="s">
        <v>44</v>
      </c>
      <c r="E21" s="176"/>
      <c r="F21" s="177" t="str">
        <f ca="1">OFFSET($AK$9,$P$1,A21)</f>
        <v>Compact</v>
      </c>
      <c r="G21" s="104"/>
      <c r="H21" s="104"/>
      <c r="I21" s="104"/>
      <c r="J21" s="104"/>
      <c r="K21" s="104"/>
      <c r="L21" s="167"/>
      <c r="M21" s="188"/>
      <c r="O21" s="108" t="s">
        <v>62</v>
      </c>
      <c r="P21" s="108">
        <v>12</v>
      </c>
      <c r="Q21" s="137" t="s">
        <v>16</v>
      </c>
      <c r="R21" s="138"/>
      <c r="S21" s="139" t="s">
        <v>19</v>
      </c>
      <c r="T21" s="140" t="s">
        <v>21</v>
      </c>
      <c r="U21" s="141"/>
      <c r="V21" s="141"/>
      <c r="W21" s="142"/>
      <c r="X21" s="137" t="s">
        <v>26</v>
      </c>
      <c r="Y21" s="143"/>
      <c r="Z21" s="143"/>
      <c r="AA21" s="143"/>
      <c r="AB21" s="144" t="s">
        <v>30</v>
      </c>
      <c r="AC21" s="137" t="s">
        <v>32</v>
      </c>
      <c r="AD21" s="145" t="s">
        <v>119</v>
      </c>
      <c r="AE21" s="146"/>
      <c r="AF21" s="137" t="s">
        <v>44</v>
      </c>
      <c r="AG21" s="147"/>
      <c r="AH21" s="147"/>
      <c r="AI21" s="147" t="s">
        <v>39</v>
      </c>
      <c r="AJ21" s="148"/>
      <c r="AK21" t="str">
        <f t="shared" si="0"/>
        <v>Bipolar</v>
      </c>
      <c r="AL21">
        <f t="shared" si="1"/>
      </c>
      <c r="AM21" t="str">
        <f t="shared" si="2"/>
        <v>Symmetric</v>
      </c>
      <c r="AN21" t="str">
        <f t="shared" si="3"/>
        <v>&lt;2,5 heliographic degrees</v>
      </c>
      <c r="AO21" t="str">
        <f t="shared" si="4"/>
        <v>Intermediate</v>
      </c>
    </row>
    <row r="22" spans="2:41" ht="13.5" thickBot="1">
      <c r="B22" s="103"/>
      <c r="C22" s="178"/>
      <c r="D22" s="179"/>
      <c r="E22" s="179"/>
      <c r="F22" s="179"/>
      <c r="G22" s="179"/>
      <c r="H22" s="179"/>
      <c r="I22" s="179"/>
      <c r="J22" s="184" t="s">
        <v>123</v>
      </c>
      <c r="K22" s="183"/>
      <c r="L22" s="180"/>
      <c r="M22" s="188"/>
      <c r="O22" s="108" t="s">
        <v>63</v>
      </c>
      <c r="P22" s="108">
        <v>13</v>
      </c>
      <c r="Q22" s="137" t="s">
        <v>16</v>
      </c>
      <c r="R22" s="138"/>
      <c r="S22" s="139" t="s">
        <v>19</v>
      </c>
      <c r="T22" s="140" t="s">
        <v>21</v>
      </c>
      <c r="U22" s="141" t="s">
        <v>116</v>
      </c>
      <c r="V22" s="141"/>
      <c r="W22" s="142"/>
      <c r="X22" s="137" t="s">
        <v>26</v>
      </c>
      <c r="Y22" s="143"/>
      <c r="Z22" s="143" t="s">
        <v>28</v>
      </c>
      <c r="AA22" s="143"/>
      <c r="AB22" s="144"/>
      <c r="AC22" s="137" t="s">
        <v>32</v>
      </c>
      <c r="AD22" s="145"/>
      <c r="AE22" s="146"/>
      <c r="AF22" s="137" t="s">
        <v>44</v>
      </c>
      <c r="AG22" s="147"/>
      <c r="AH22" s="147" t="s">
        <v>38</v>
      </c>
      <c r="AI22" s="147"/>
      <c r="AJ22" s="148"/>
      <c r="AK22" t="str">
        <f t="shared" si="0"/>
        <v>Bipolar</v>
      </c>
      <c r="AL22" t="str">
        <f t="shared" si="1"/>
        <v>&lt;10 heliographic degrees</v>
      </c>
      <c r="AM22" t="str">
        <f t="shared" si="2"/>
        <v>Rudimentary</v>
      </c>
      <c r="AN22">
        <f t="shared" si="3"/>
      </c>
      <c r="AO22" t="str">
        <f t="shared" si="4"/>
        <v>Open</v>
      </c>
    </row>
    <row r="23" spans="2:41" ht="13.5" thickTop="1">
      <c r="B23" s="106"/>
      <c r="C23" s="194"/>
      <c r="D23" s="194"/>
      <c r="E23" s="194"/>
      <c r="F23" s="194"/>
      <c r="G23" s="194"/>
      <c r="H23" s="194"/>
      <c r="I23" s="194"/>
      <c r="J23" s="194"/>
      <c r="K23" s="194"/>
      <c r="L23" s="195"/>
      <c r="M23" s="196"/>
      <c r="O23" s="108" t="s">
        <v>64</v>
      </c>
      <c r="P23" s="108">
        <v>14</v>
      </c>
      <c r="Q23" s="137" t="s">
        <v>16</v>
      </c>
      <c r="R23" s="138"/>
      <c r="S23" s="139" t="s">
        <v>19</v>
      </c>
      <c r="T23" s="140" t="s">
        <v>21</v>
      </c>
      <c r="U23" s="141"/>
      <c r="V23" s="141" t="s">
        <v>117</v>
      </c>
      <c r="W23" s="142"/>
      <c r="X23" s="137" t="s">
        <v>26</v>
      </c>
      <c r="Y23" s="143"/>
      <c r="Z23" s="143" t="s">
        <v>28</v>
      </c>
      <c r="AA23" s="143"/>
      <c r="AB23" s="144"/>
      <c r="AC23" s="137" t="s">
        <v>32</v>
      </c>
      <c r="AD23" s="145"/>
      <c r="AE23" s="146"/>
      <c r="AF23" s="137" t="s">
        <v>44</v>
      </c>
      <c r="AG23" s="147"/>
      <c r="AH23" s="147" t="s">
        <v>38</v>
      </c>
      <c r="AI23" s="147"/>
      <c r="AJ23" s="148"/>
      <c r="AK23" t="str">
        <f t="shared" si="0"/>
        <v>Bipolar</v>
      </c>
      <c r="AL23" t="str">
        <f t="shared" si="1"/>
        <v>&gt;10&lt;15 heliographic degrees</v>
      </c>
      <c r="AM23" t="str">
        <f t="shared" si="2"/>
        <v>Rudimentary</v>
      </c>
      <c r="AN23">
        <f t="shared" si="3"/>
      </c>
      <c r="AO23" t="str">
        <f t="shared" si="4"/>
        <v>Open</v>
      </c>
    </row>
    <row r="24" spans="15:41" ht="12.75">
      <c r="O24" s="108" t="s">
        <v>65</v>
      </c>
      <c r="P24" s="108">
        <v>15</v>
      </c>
      <c r="Q24" s="137" t="s">
        <v>16</v>
      </c>
      <c r="R24" s="138"/>
      <c r="S24" s="139" t="s">
        <v>19</v>
      </c>
      <c r="T24" s="140" t="s">
        <v>21</v>
      </c>
      <c r="U24" s="141"/>
      <c r="V24" s="141"/>
      <c r="W24" s="142" t="s">
        <v>118</v>
      </c>
      <c r="X24" s="137" t="s">
        <v>26</v>
      </c>
      <c r="Y24" s="143"/>
      <c r="Z24" s="143" t="s">
        <v>28</v>
      </c>
      <c r="AA24" s="143"/>
      <c r="AB24" s="144"/>
      <c r="AC24" s="137" t="s">
        <v>32</v>
      </c>
      <c r="AD24" s="145"/>
      <c r="AE24" s="146"/>
      <c r="AF24" s="137" t="s">
        <v>44</v>
      </c>
      <c r="AG24" s="147"/>
      <c r="AH24" s="147" t="s">
        <v>38</v>
      </c>
      <c r="AI24" s="147"/>
      <c r="AJ24" s="148"/>
      <c r="AK24" t="str">
        <f t="shared" si="0"/>
        <v>Bipolar</v>
      </c>
      <c r="AL24" t="str">
        <f t="shared" si="1"/>
        <v>&gt;15 heliographic degrees</v>
      </c>
      <c r="AM24" t="str">
        <f t="shared" si="2"/>
        <v>Rudimentary</v>
      </c>
      <c r="AN24">
        <f t="shared" si="3"/>
      </c>
      <c r="AO24" t="str">
        <f t="shared" si="4"/>
        <v>Open</v>
      </c>
    </row>
    <row r="25" spans="15:41" ht="12.75">
      <c r="O25" s="108" t="s">
        <v>66</v>
      </c>
      <c r="P25" s="108">
        <v>16</v>
      </c>
      <c r="Q25" s="137" t="s">
        <v>16</v>
      </c>
      <c r="R25" s="138"/>
      <c r="S25" s="139" t="s">
        <v>19</v>
      </c>
      <c r="T25" s="140" t="s">
        <v>21</v>
      </c>
      <c r="U25" s="141" t="s">
        <v>116</v>
      </c>
      <c r="V25" s="141"/>
      <c r="W25" s="142"/>
      <c r="X25" s="137" t="s">
        <v>26</v>
      </c>
      <c r="Y25" s="143"/>
      <c r="Z25" s="143" t="s">
        <v>28</v>
      </c>
      <c r="AA25" s="143"/>
      <c r="AB25" s="144"/>
      <c r="AC25" s="137" t="s">
        <v>32</v>
      </c>
      <c r="AD25" s="145"/>
      <c r="AE25" s="146"/>
      <c r="AF25" s="137" t="s">
        <v>44</v>
      </c>
      <c r="AG25" s="147"/>
      <c r="AH25" s="147"/>
      <c r="AI25" s="147" t="s">
        <v>39</v>
      </c>
      <c r="AJ25" s="148"/>
      <c r="AK25" t="str">
        <f t="shared" si="0"/>
        <v>Bipolar</v>
      </c>
      <c r="AL25" t="str">
        <f t="shared" si="1"/>
        <v>&lt;10 heliographic degrees</v>
      </c>
      <c r="AM25" t="str">
        <f t="shared" si="2"/>
        <v>Rudimentary</v>
      </c>
      <c r="AN25">
        <f t="shared" si="3"/>
      </c>
      <c r="AO25" t="str">
        <f t="shared" si="4"/>
        <v>Intermediate</v>
      </c>
    </row>
    <row r="26" spans="3:41" ht="12.75">
      <c r="C26" s="101"/>
      <c r="D26" s="102"/>
      <c r="E26" s="101"/>
      <c r="F26" s="102"/>
      <c r="G26" s="101"/>
      <c r="H26" s="102"/>
      <c r="O26" s="108" t="s">
        <v>67</v>
      </c>
      <c r="P26" s="108">
        <v>17</v>
      </c>
      <c r="Q26" s="137" t="s">
        <v>16</v>
      </c>
      <c r="R26" s="138"/>
      <c r="S26" s="139" t="s">
        <v>19</v>
      </c>
      <c r="T26" s="140" t="s">
        <v>21</v>
      </c>
      <c r="U26" s="141"/>
      <c r="V26" s="141" t="s">
        <v>117</v>
      </c>
      <c r="W26" s="142"/>
      <c r="X26" s="137" t="s">
        <v>26</v>
      </c>
      <c r="Y26" s="143"/>
      <c r="Z26" s="143" t="s">
        <v>28</v>
      </c>
      <c r="AA26" s="143"/>
      <c r="AB26" s="144"/>
      <c r="AC26" s="137" t="s">
        <v>32</v>
      </c>
      <c r="AD26" s="145"/>
      <c r="AE26" s="146"/>
      <c r="AF26" s="137" t="s">
        <v>44</v>
      </c>
      <c r="AG26" s="147"/>
      <c r="AH26" s="147"/>
      <c r="AI26" s="147" t="s">
        <v>39</v>
      </c>
      <c r="AJ26" s="148"/>
      <c r="AK26" t="str">
        <f t="shared" si="0"/>
        <v>Bipolar</v>
      </c>
      <c r="AL26" t="str">
        <f t="shared" si="1"/>
        <v>&gt;10&lt;15 heliographic degrees</v>
      </c>
      <c r="AM26" t="str">
        <f t="shared" si="2"/>
        <v>Rudimentary</v>
      </c>
      <c r="AN26">
        <f t="shared" si="3"/>
      </c>
      <c r="AO26" t="str">
        <f t="shared" si="4"/>
        <v>Intermediate</v>
      </c>
    </row>
    <row r="27" spans="3:41" ht="12.75">
      <c r="C27" s="103"/>
      <c r="D27" s="105"/>
      <c r="E27" s="103"/>
      <c r="F27" s="105"/>
      <c r="G27" s="103"/>
      <c r="H27" s="105"/>
      <c r="O27" s="108" t="s">
        <v>68</v>
      </c>
      <c r="P27" s="108">
        <v>18</v>
      </c>
      <c r="Q27" s="137" t="s">
        <v>16</v>
      </c>
      <c r="R27" s="138"/>
      <c r="S27" s="139" t="s">
        <v>19</v>
      </c>
      <c r="T27" s="140" t="s">
        <v>21</v>
      </c>
      <c r="U27" s="141"/>
      <c r="V27" s="141"/>
      <c r="W27" s="142" t="s">
        <v>118</v>
      </c>
      <c r="X27" s="137" t="s">
        <v>26</v>
      </c>
      <c r="Y27" s="143"/>
      <c r="Z27" s="143" t="s">
        <v>28</v>
      </c>
      <c r="AA27" s="143"/>
      <c r="AB27" s="144"/>
      <c r="AC27" s="137" t="s">
        <v>32</v>
      </c>
      <c r="AD27" s="145"/>
      <c r="AE27" s="146"/>
      <c r="AF27" s="137" t="s">
        <v>44</v>
      </c>
      <c r="AG27" s="147"/>
      <c r="AH27" s="147"/>
      <c r="AI27" s="147" t="s">
        <v>39</v>
      </c>
      <c r="AJ27" s="148"/>
      <c r="AK27" t="str">
        <f t="shared" si="0"/>
        <v>Bipolar</v>
      </c>
      <c r="AL27" t="str">
        <f t="shared" si="1"/>
        <v>&gt;15 heliographic degrees</v>
      </c>
      <c r="AM27" t="str">
        <f t="shared" si="2"/>
        <v>Rudimentary</v>
      </c>
      <c r="AN27">
        <f t="shared" si="3"/>
      </c>
      <c r="AO27" t="str">
        <f t="shared" si="4"/>
        <v>Intermediate</v>
      </c>
    </row>
    <row r="28" spans="3:41" ht="12.75">
      <c r="C28" s="106"/>
      <c r="D28" s="107"/>
      <c r="E28" s="106"/>
      <c r="F28" s="107"/>
      <c r="G28" s="106"/>
      <c r="H28" s="107"/>
      <c r="O28" s="108" t="s">
        <v>69</v>
      </c>
      <c r="P28" s="108">
        <v>19</v>
      </c>
      <c r="Q28" s="137" t="s">
        <v>16</v>
      </c>
      <c r="R28" s="138"/>
      <c r="S28" s="139" t="s">
        <v>19</v>
      </c>
      <c r="T28" s="140" t="s">
        <v>21</v>
      </c>
      <c r="U28" s="141" t="s">
        <v>116</v>
      </c>
      <c r="V28" s="141"/>
      <c r="W28" s="142"/>
      <c r="X28" s="137" t="s">
        <v>26</v>
      </c>
      <c r="Y28" s="143"/>
      <c r="Z28" s="143"/>
      <c r="AA28" s="143" t="s">
        <v>29</v>
      </c>
      <c r="AB28" s="144"/>
      <c r="AC28" s="137" t="s">
        <v>32</v>
      </c>
      <c r="AD28" s="145" t="s">
        <v>119</v>
      </c>
      <c r="AE28" s="146"/>
      <c r="AF28" s="137" t="s">
        <v>44</v>
      </c>
      <c r="AG28" s="147"/>
      <c r="AH28" s="147" t="s">
        <v>38</v>
      </c>
      <c r="AI28" s="147"/>
      <c r="AJ28" s="148"/>
      <c r="AK28" t="str">
        <f t="shared" si="0"/>
        <v>Bipolar</v>
      </c>
      <c r="AL28" t="str">
        <f t="shared" si="1"/>
        <v>&lt;10 heliographic degrees</v>
      </c>
      <c r="AM28" t="str">
        <f t="shared" si="2"/>
        <v>Assymetric</v>
      </c>
      <c r="AN28" t="str">
        <f t="shared" si="3"/>
        <v>&lt;2,5 heliographic degrees</v>
      </c>
      <c r="AO28" t="str">
        <f t="shared" si="4"/>
        <v>Open</v>
      </c>
    </row>
    <row r="29" spans="3:41" ht="12.75">
      <c r="C29" s="101"/>
      <c r="D29" s="102"/>
      <c r="E29" s="103"/>
      <c r="F29" s="105"/>
      <c r="G29" s="103"/>
      <c r="H29" s="105"/>
      <c r="O29" s="108" t="s">
        <v>70</v>
      </c>
      <c r="P29" s="108">
        <v>20</v>
      </c>
      <c r="Q29" s="137" t="s">
        <v>16</v>
      </c>
      <c r="R29" s="138"/>
      <c r="S29" s="139" t="s">
        <v>19</v>
      </c>
      <c r="T29" s="140" t="s">
        <v>21</v>
      </c>
      <c r="U29" s="141"/>
      <c r="V29" s="141" t="s">
        <v>117</v>
      </c>
      <c r="W29" s="142"/>
      <c r="X29" s="137" t="s">
        <v>26</v>
      </c>
      <c r="Y29" s="143"/>
      <c r="Z29" s="143"/>
      <c r="AA29" s="143" t="s">
        <v>29</v>
      </c>
      <c r="AB29" s="144"/>
      <c r="AC29" s="137" t="s">
        <v>32</v>
      </c>
      <c r="AD29" s="145" t="s">
        <v>119</v>
      </c>
      <c r="AE29" s="146"/>
      <c r="AF29" s="137" t="s">
        <v>44</v>
      </c>
      <c r="AG29" s="147"/>
      <c r="AH29" s="147" t="s">
        <v>38</v>
      </c>
      <c r="AI29" s="147"/>
      <c r="AJ29" s="148"/>
      <c r="AK29" t="str">
        <f t="shared" si="0"/>
        <v>Bipolar</v>
      </c>
      <c r="AL29" t="str">
        <f t="shared" si="1"/>
        <v>&gt;10&lt;15 heliographic degrees</v>
      </c>
      <c r="AM29" t="str">
        <f t="shared" si="2"/>
        <v>Assymetric</v>
      </c>
      <c r="AN29" t="str">
        <f t="shared" si="3"/>
        <v>&lt;2,5 heliographic degrees</v>
      </c>
      <c r="AO29" t="str">
        <f t="shared" si="4"/>
        <v>Open</v>
      </c>
    </row>
    <row r="30" spans="3:41" ht="12.75">
      <c r="C30" s="103"/>
      <c r="D30" s="105"/>
      <c r="E30" s="103"/>
      <c r="F30" s="105"/>
      <c r="G30" s="103"/>
      <c r="H30" s="105"/>
      <c r="O30" s="108" t="s">
        <v>71</v>
      </c>
      <c r="P30" s="108">
        <v>21</v>
      </c>
      <c r="Q30" s="137" t="s">
        <v>16</v>
      </c>
      <c r="R30" s="138"/>
      <c r="S30" s="139" t="s">
        <v>19</v>
      </c>
      <c r="T30" s="140" t="s">
        <v>21</v>
      </c>
      <c r="U30" s="141"/>
      <c r="V30" s="141"/>
      <c r="W30" s="142" t="s">
        <v>118</v>
      </c>
      <c r="X30" s="137" t="s">
        <v>26</v>
      </c>
      <c r="Y30" s="143"/>
      <c r="Z30" s="143"/>
      <c r="AA30" s="143" t="s">
        <v>29</v>
      </c>
      <c r="AB30" s="144"/>
      <c r="AC30" s="137" t="s">
        <v>32</v>
      </c>
      <c r="AD30" s="145" t="s">
        <v>119</v>
      </c>
      <c r="AE30" s="146"/>
      <c r="AF30" s="137" t="s">
        <v>44</v>
      </c>
      <c r="AG30" s="147"/>
      <c r="AH30" s="147" t="s">
        <v>38</v>
      </c>
      <c r="AI30" s="147"/>
      <c r="AJ30" s="148"/>
      <c r="AK30" t="str">
        <f t="shared" si="0"/>
        <v>Bipolar</v>
      </c>
      <c r="AL30" t="str">
        <f t="shared" si="1"/>
        <v>&gt;15 heliographic degrees</v>
      </c>
      <c r="AM30" t="str">
        <f t="shared" si="2"/>
        <v>Assymetric</v>
      </c>
      <c r="AN30" t="str">
        <f t="shared" si="3"/>
        <v>&lt;2,5 heliographic degrees</v>
      </c>
      <c r="AO30" t="str">
        <f t="shared" si="4"/>
        <v>Open</v>
      </c>
    </row>
    <row r="31" spans="3:41" ht="12.75">
      <c r="C31" s="106"/>
      <c r="D31" s="107"/>
      <c r="E31" s="103"/>
      <c r="F31" s="105"/>
      <c r="G31" s="103"/>
      <c r="H31" s="105"/>
      <c r="O31" s="108" t="s">
        <v>72</v>
      </c>
      <c r="P31" s="108">
        <v>22</v>
      </c>
      <c r="Q31" s="137" t="s">
        <v>16</v>
      </c>
      <c r="R31" s="138"/>
      <c r="S31" s="139" t="s">
        <v>19</v>
      </c>
      <c r="T31" s="140" t="s">
        <v>21</v>
      </c>
      <c r="U31" s="141" t="s">
        <v>116</v>
      </c>
      <c r="V31" s="141"/>
      <c r="W31" s="142"/>
      <c r="X31" s="137" t="s">
        <v>26</v>
      </c>
      <c r="Y31" s="143"/>
      <c r="Z31" s="143"/>
      <c r="AA31" s="143" t="s">
        <v>29</v>
      </c>
      <c r="AB31" s="144"/>
      <c r="AC31" s="137" t="s">
        <v>32</v>
      </c>
      <c r="AD31" s="145" t="s">
        <v>119</v>
      </c>
      <c r="AE31" s="146"/>
      <c r="AF31" s="137" t="s">
        <v>44</v>
      </c>
      <c r="AG31" s="147"/>
      <c r="AH31" s="147"/>
      <c r="AI31" s="147" t="s">
        <v>39</v>
      </c>
      <c r="AJ31" s="148"/>
      <c r="AK31" t="str">
        <f t="shared" si="0"/>
        <v>Bipolar</v>
      </c>
      <c r="AL31" t="str">
        <f t="shared" si="1"/>
        <v>&lt;10 heliographic degrees</v>
      </c>
      <c r="AM31" t="str">
        <f t="shared" si="2"/>
        <v>Assymetric</v>
      </c>
      <c r="AN31" t="str">
        <f t="shared" si="3"/>
        <v>&lt;2,5 heliographic degrees</v>
      </c>
      <c r="AO31" t="str">
        <f t="shared" si="4"/>
        <v>Intermediate</v>
      </c>
    </row>
    <row r="32" spans="5:41" ht="12.75">
      <c r="E32" s="106"/>
      <c r="F32" s="107"/>
      <c r="G32" s="106"/>
      <c r="H32" s="107"/>
      <c r="O32" s="108" t="s">
        <v>74</v>
      </c>
      <c r="P32" s="108">
        <v>23</v>
      </c>
      <c r="Q32" s="137" t="s">
        <v>16</v>
      </c>
      <c r="R32" s="138"/>
      <c r="S32" s="139" t="s">
        <v>19</v>
      </c>
      <c r="T32" s="140" t="s">
        <v>21</v>
      </c>
      <c r="U32" s="141"/>
      <c r="V32" s="141" t="s">
        <v>117</v>
      </c>
      <c r="W32" s="142"/>
      <c r="X32" s="137" t="s">
        <v>26</v>
      </c>
      <c r="Y32" s="143"/>
      <c r="Z32" s="143"/>
      <c r="AA32" s="143" t="s">
        <v>29</v>
      </c>
      <c r="AB32" s="144"/>
      <c r="AC32" s="137" t="s">
        <v>32</v>
      </c>
      <c r="AD32" s="145" t="s">
        <v>119</v>
      </c>
      <c r="AE32" s="146"/>
      <c r="AF32" s="137" t="s">
        <v>44</v>
      </c>
      <c r="AG32" s="147"/>
      <c r="AH32" s="147"/>
      <c r="AI32" s="147" t="s">
        <v>39</v>
      </c>
      <c r="AJ32" s="148"/>
      <c r="AK32" t="str">
        <f t="shared" si="0"/>
        <v>Bipolar</v>
      </c>
      <c r="AL32" t="str">
        <f t="shared" si="1"/>
        <v>&gt;10&lt;15 heliographic degrees</v>
      </c>
      <c r="AM32" t="str">
        <f t="shared" si="2"/>
        <v>Assymetric</v>
      </c>
      <c r="AN32" t="str">
        <f t="shared" si="3"/>
        <v>&lt;2,5 heliographic degrees</v>
      </c>
      <c r="AO32" t="str">
        <f t="shared" si="4"/>
        <v>Intermediate</v>
      </c>
    </row>
    <row r="33" spans="15:41" ht="12.75">
      <c r="O33" s="108" t="s">
        <v>75</v>
      </c>
      <c r="P33" s="108">
        <v>24</v>
      </c>
      <c r="Q33" s="137" t="s">
        <v>16</v>
      </c>
      <c r="R33" s="138"/>
      <c r="S33" s="139" t="s">
        <v>19</v>
      </c>
      <c r="T33" s="140" t="s">
        <v>21</v>
      </c>
      <c r="U33" s="141"/>
      <c r="V33" s="141"/>
      <c r="W33" s="142" t="s">
        <v>118</v>
      </c>
      <c r="X33" s="137" t="s">
        <v>26</v>
      </c>
      <c r="Y33" s="143"/>
      <c r="Z33" s="143"/>
      <c r="AA33" s="143" t="s">
        <v>29</v>
      </c>
      <c r="AB33" s="144"/>
      <c r="AC33" s="137" t="s">
        <v>32</v>
      </c>
      <c r="AD33" s="145" t="s">
        <v>119</v>
      </c>
      <c r="AE33" s="146"/>
      <c r="AF33" s="137" t="s">
        <v>44</v>
      </c>
      <c r="AG33" s="147"/>
      <c r="AH33" s="147"/>
      <c r="AI33" s="147" t="s">
        <v>39</v>
      </c>
      <c r="AJ33" s="148"/>
      <c r="AK33" t="str">
        <f t="shared" si="0"/>
        <v>Bipolar</v>
      </c>
      <c r="AL33" t="str">
        <f t="shared" si="1"/>
        <v>&gt;15 heliographic degrees</v>
      </c>
      <c r="AM33" t="str">
        <f t="shared" si="2"/>
        <v>Assymetric</v>
      </c>
      <c r="AN33" t="str">
        <f t="shared" si="3"/>
        <v>&lt;2,5 heliographic degrees</v>
      </c>
      <c r="AO33" t="str">
        <f t="shared" si="4"/>
        <v>Intermediate</v>
      </c>
    </row>
    <row r="34" spans="15:41" ht="12.75">
      <c r="O34" s="108" t="s">
        <v>78</v>
      </c>
      <c r="P34" s="108">
        <v>25</v>
      </c>
      <c r="Q34" s="137" t="s">
        <v>16</v>
      </c>
      <c r="R34" s="138"/>
      <c r="S34" s="139" t="s">
        <v>19</v>
      </c>
      <c r="T34" s="140" t="s">
        <v>21</v>
      </c>
      <c r="U34" s="141" t="s">
        <v>116</v>
      </c>
      <c r="V34" s="141"/>
      <c r="W34" s="142"/>
      <c r="X34" s="137" t="s">
        <v>26</v>
      </c>
      <c r="Y34" s="143"/>
      <c r="Z34" s="143"/>
      <c r="AA34" s="143"/>
      <c r="AB34" s="144" t="s">
        <v>30</v>
      </c>
      <c r="AC34" s="137" t="s">
        <v>32</v>
      </c>
      <c r="AD34" s="145" t="s">
        <v>119</v>
      </c>
      <c r="AE34" s="146"/>
      <c r="AF34" s="137" t="s">
        <v>44</v>
      </c>
      <c r="AG34" s="147"/>
      <c r="AH34" s="147" t="s">
        <v>38</v>
      </c>
      <c r="AI34" s="147"/>
      <c r="AJ34" s="148"/>
      <c r="AK34" t="str">
        <f t="shared" si="0"/>
        <v>Bipolar</v>
      </c>
      <c r="AL34" t="str">
        <f t="shared" si="1"/>
        <v>&lt;10 heliographic degrees</v>
      </c>
      <c r="AM34" t="str">
        <f t="shared" si="2"/>
        <v>Symmetric</v>
      </c>
      <c r="AN34" t="str">
        <f t="shared" si="3"/>
        <v>&lt;2,5 heliographic degrees</v>
      </c>
      <c r="AO34" t="str">
        <f t="shared" si="4"/>
        <v>Open</v>
      </c>
    </row>
    <row r="35" spans="15:41" ht="12.75">
      <c r="O35" s="108" t="s">
        <v>79</v>
      </c>
      <c r="P35" s="108">
        <v>26</v>
      </c>
      <c r="Q35" s="137" t="s">
        <v>16</v>
      </c>
      <c r="R35" s="138"/>
      <c r="S35" s="139" t="s">
        <v>19</v>
      </c>
      <c r="T35" s="140" t="s">
        <v>21</v>
      </c>
      <c r="U35" s="141"/>
      <c r="V35" s="141" t="s">
        <v>117</v>
      </c>
      <c r="W35" s="142"/>
      <c r="X35" s="137" t="s">
        <v>26</v>
      </c>
      <c r="Y35" s="143"/>
      <c r="Z35" s="143"/>
      <c r="AA35" s="143"/>
      <c r="AB35" s="144" t="s">
        <v>30</v>
      </c>
      <c r="AC35" s="137" t="s">
        <v>32</v>
      </c>
      <c r="AD35" s="145" t="s">
        <v>119</v>
      </c>
      <c r="AE35" s="146"/>
      <c r="AF35" s="137" t="s">
        <v>44</v>
      </c>
      <c r="AG35" s="147"/>
      <c r="AH35" s="147" t="s">
        <v>38</v>
      </c>
      <c r="AI35" s="147"/>
      <c r="AJ35" s="148"/>
      <c r="AK35" t="str">
        <f t="shared" si="0"/>
        <v>Bipolar</v>
      </c>
      <c r="AL35" t="str">
        <f t="shared" si="1"/>
        <v>&gt;10&lt;15 heliographic degrees</v>
      </c>
      <c r="AM35" t="str">
        <f t="shared" si="2"/>
        <v>Symmetric</v>
      </c>
      <c r="AN35" t="str">
        <f t="shared" si="3"/>
        <v>&lt;2,5 heliographic degrees</v>
      </c>
      <c r="AO35" t="str">
        <f t="shared" si="4"/>
        <v>Open</v>
      </c>
    </row>
    <row r="36" spans="15:41" ht="12.75">
      <c r="O36" s="108" t="s">
        <v>80</v>
      </c>
      <c r="P36" s="108">
        <v>27</v>
      </c>
      <c r="Q36" s="137" t="s">
        <v>16</v>
      </c>
      <c r="R36" s="138"/>
      <c r="S36" s="139" t="s">
        <v>19</v>
      </c>
      <c r="T36" s="140" t="s">
        <v>21</v>
      </c>
      <c r="U36" s="141"/>
      <c r="V36" s="141"/>
      <c r="W36" s="142" t="s">
        <v>118</v>
      </c>
      <c r="X36" s="137" t="s">
        <v>26</v>
      </c>
      <c r="Y36" s="143"/>
      <c r="Z36" s="143"/>
      <c r="AA36" s="143"/>
      <c r="AB36" s="144" t="s">
        <v>30</v>
      </c>
      <c r="AC36" s="137" t="s">
        <v>32</v>
      </c>
      <c r="AD36" s="145" t="s">
        <v>119</v>
      </c>
      <c r="AE36" s="146"/>
      <c r="AF36" s="137" t="s">
        <v>44</v>
      </c>
      <c r="AG36" s="147"/>
      <c r="AH36" s="147" t="s">
        <v>38</v>
      </c>
      <c r="AI36" s="147"/>
      <c r="AJ36" s="148"/>
      <c r="AK36" t="str">
        <f t="shared" si="0"/>
        <v>Bipolar</v>
      </c>
      <c r="AL36" t="str">
        <f t="shared" si="1"/>
        <v>&gt;15 heliographic degrees</v>
      </c>
      <c r="AM36" t="str">
        <f t="shared" si="2"/>
        <v>Symmetric</v>
      </c>
      <c r="AN36" t="str">
        <f t="shared" si="3"/>
        <v>&lt;2,5 heliographic degrees</v>
      </c>
      <c r="AO36" t="str">
        <f t="shared" si="4"/>
        <v>Open</v>
      </c>
    </row>
    <row r="37" spans="15:41" ht="12.75">
      <c r="O37" s="108" t="s">
        <v>81</v>
      </c>
      <c r="P37" s="108">
        <v>28</v>
      </c>
      <c r="Q37" s="137" t="s">
        <v>16</v>
      </c>
      <c r="R37" s="138"/>
      <c r="S37" s="139" t="s">
        <v>19</v>
      </c>
      <c r="T37" s="140" t="s">
        <v>21</v>
      </c>
      <c r="U37" s="141" t="s">
        <v>116</v>
      </c>
      <c r="V37" s="141"/>
      <c r="W37" s="142"/>
      <c r="X37" s="137" t="s">
        <v>26</v>
      </c>
      <c r="Y37" s="143"/>
      <c r="Z37" s="143"/>
      <c r="AA37" s="143"/>
      <c r="AB37" s="144" t="s">
        <v>30</v>
      </c>
      <c r="AC37" s="137" t="s">
        <v>32</v>
      </c>
      <c r="AD37" s="145" t="s">
        <v>119</v>
      </c>
      <c r="AE37" s="146"/>
      <c r="AF37" s="137" t="s">
        <v>44</v>
      </c>
      <c r="AG37" s="147"/>
      <c r="AH37" s="147"/>
      <c r="AI37" s="147" t="s">
        <v>39</v>
      </c>
      <c r="AJ37" s="148"/>
      <c r="AK37" t="str">
        <f t="shared" si="0"/>
        <v>Bipolar</v>
      </c>
      <c r="AL37" t="str">
        <f t="shared" si="1"/>
        <v>&lt;10 heliographic degrees</v>
      </c>
      <c r="AM37" t="str">
        <f t="shared" si="2"/>
        <v>Symmetric</v>
      </c>
      <c r="AN37" t="str">
        <f t="shared" si="3"/>
        <v>&lt;2,5 heliographic degrees</v>
      </c>
      <c r="AO37" t="str">
        <f t="shared" si="4"/>
        <v>Intermediate</v>
      </c>
    </row>
    <row r="38" spans="15:41" ht="12.75">
      <c r="O38" s="108" t="s">
        <v>82</v>
      </c>
      <c r="P38" s="108">
        <v>29</v>
      </c>
      <c r="Q38" s="137" t="s">
        <v>16</v>
      </c>
      <c r="R38" s="138"/>
      <c r="S38" s="139" t="s">
        <v>19</v>
      </c>
      <c r="T38" s="140" t="s">
        <v>21</v>
      </c>
      <c r="U38" s="141"/>
      <c r="V38" s="141" t="s">
        <v>117</v>
      </c>
      <c r="W38" s="142"/>
      <c r="X38" s="137" t="s">
        <v>26</v>
      </c>
      <c r="Y38" s="143"/>
      <c r="Z38" s="143"/>
      <c r="AA38" s="143"/>
      <c r="AB38" s="144" t="s">
        <v>30</v>
      </c>
      <c r="AC38" s="137" t="s">
        <v>32</v>
      </c>
      <c r="AD38" s="145" t="s">
        <v>119</v>
      </c>
      <c r="AE38" s="146"/>
      <c r="AF38" s="137" t="s">
        <v>44</v>
      </c>
      <c r="AG38" s="147"/>
      <c r="AH38" s="147"/>
      <c r="AI38" s="147" t="s">
        <v>39</v>
      </c>
      <c r="AJ38" s="148"/>
      <c r="AK38" t="str">
        <f t="shared" si="0"/>
        <v>Bipolar</v>
      </c>
      <c r="AL38" t="str">
        <f t="shared" si="1"/>
        <v>&gt;10&lt;15 heliographic degrees</v>
      </c>
      <c r="AM38" t="str">
        <f t="shared" si="2"/>
        <v>Symmetric</v>
      </c>
      <c r="AN38" t="str">
        <f t="shared" si="3"/>
        <v>&lt;2,5 heliographic degrees</v>
      </c>
      <c r="AO38" t="str">
        <f t="shared" si="4"/>
        <v>Intermediate</v>
      </c>
    </row>
    <row r="39" spans="15:41" ht="12.75">
      <c r="O39" s="108" t="s">
        <v>83</v>
      </c>
      <c r="P39" s="108">
        <v>30</v>
      </c>
      <c r="Q39" s="137" t="s">
        <v>16</v>
      </c>
      <c r="R39" s="138"/>
      <c r="S39" s="139" t="s">
        <v>19</v>
      </c>
      <c r="T39" s="140" t="s">
        <v>21</v>
      </c>
      <c r="U39" s="141"/>
      <c r="V39" s="141"/>
      <c r="W39" s="142" t="s">
        <v>118</v>
      </c>
      <c r="X39" s="137" t="s">
        <v>26</v>
      </c>
      <c r="Y39" s="143"/>
      <c r="Z39" s="143"/>
      <c r="AA39" s="143"/>
      <c r="AB39" s="144" t="s">
        <v>30</v>
      </c>
      <c r="AC39" s="137" t="s">
        <v>32</v>
      </c>
      <c r="AD39" s="145" t="s">
        <v>119</v>
      </c>
      <c r="AE39" s="146"/>
      <c r="AF39" s="137" t="s">
        <v>44</v>
      </c>
      <c r="AG39" s="147"/>
      <c r="AH39" s="147"/>
      <c r="AI39" s="147" t="s">
        <v>39</v>
      </c>
      <c r="AJ39" s="148"/>
      <c r="AK39" t="str">
        <f t="shared" si="0"/>
        <v>Bipolar</v>
      </c>
      <c r="AL39" t="str">
        <f t="shared" si="1"/>
        <v>&gt;15 heliographic degrees</v>
      </c>
      <c r="AM39" t="str">
        <f t="shared" si="2"/>
        <v>Symmetric</v>
      </c>
      <c r="AN39" t="str">
        <f t="shared" si="3"/>
        <v>&lt;2,5 heliographic degrees</v>
      </c>
      <c r="AO39" t="str">
        <f t="shared" si="4"/>
        <v>Intermediate</v>
      </c>
    </row>
    <row r="40" spans="15:41" ht="12.75">
      <c r="O40" s="108" t="s">
        <v>84</v>
      </c>
      <c r="P40" s="108">
        <v>31</v>
      </c>
      <c r="Q40" s="137" t="s">
        <v>16</v>
      </c>
      <c r="R40" s="138"/>
      <c r="S40" s="139" t="s">
        <v>19</v>
      </c>
      <c r="T40" s="140" t="s">
        <v>21</v>
      </c>
      <c r="U40" s="141" t="s">
        <v>116</v>
      </c>
      <c r="V40" s="141"/>
      <c r="W40" s="142"/>
      <c r="X40" s="137" t="s">
        <v>26</v>
      </c>
      <c r="Y40" s="143"/>
      <c r="Z40" s="143"/>
      <c r="AA40" s="143" t="s">
        <v>29</v>
      </c>
      <c r="AB40" s="144"/>
      <c r="AC40" s="137" t="s">
        <v>32</v>
      </c>
      <c r="AD40" s="145" t="s">
        <v>119</v>
      </c>
      <c r="AE40" s="146"/>
      <c r="AF40" s="137" t="s">
        <v>44</v>
      </c>
      <c r="AG40" s="147"/>
      <c r="AH40" s="147"/>
      <c r="AI40" s="147"/>
      <c r="AJ40" s="148" t="s">
        <v>40</v>
      </c>
      <c r="AK40" t="str">
        <f t="shared" si="0"/>
        <v>Bipolar</v>
      </c>
      <c r="AL40" t="str">
        <f t="shared" si="1"/>
        <v>&lt;10 heliographic degrees</v>
      </c>
      <c r="AM40" t="str">
        <f t="shared" si="2"/>
        <v>Assymetric</v>
      </c>
      <c r="AN40" t="str">
        <f t="shared" si="3"/>
        <v>&lt;2,5 heliographic degrees</v>
      </c>
      <c r="AO40" t="str">
        <f t="shared" si="4"/>
        <v>Compact</v>
      </c>
    </row>
    <row r="41" spans="15:41" ht="12.75">
      <c r="O41" s="108" t="s">
        <v>85</v>
      </c>
      <c r="P41" s="108">
        <v>32</v>
      </c>
      <c r="Q41" s="137" t="s">
        <v>16</v>
      </c>
      <c r="R41" s="138"/>
      <c r="S41" s="139" t="s">
        <v>19</v>
      </c>
      <c r="T41" s="140" t="s">
        <v>21</v>
      </c>
      <c r="U41" s="141"/>
      <c r="V41" s="141" t="s">
        <v>117</v>
      </c>
      <c r="W41" s="142"/>
      <c r="X41" s="137" t="s">
        <v>26</v>
      </c>
      <c r="Y41" s="143"/>
      <c r="Z41" s="143"/>
      <c r="AA41" s="143" t="s">
        <v>29</v>
      </c>
      <c r="AB41" s="144"/>
      <c r="AC41" s="137" t="s">
        <v>32</v>
      </c>
      <c r="AD41" s="145" t="s">
        <v>119</v>
      </c>
      <c r="AE41" s="146"/>
      <c r="AF41" s="137" t="s">
        <v>44</v>
      </c>
      <c r="AG41" s="147"/>
      <c r="AH41" s="147"/>
      <c r="AI41" s="147"/>
      <c r="AJ41" s="148" t="s">
        <v>40</v>
      </c>
      <c r="AK41" t="str">
        <f t="shared" si="0"/>
        <v>Bipolar</v>
      </c>
      <c r="AL41" t="str">
        <f t="shared" si="1"/>
        <v>&gt;10&lt;15 heliographic degrees</v>
      </c>
      <c r="AM41" t="str">
        <f t="shared" si="2"/>
        <v>Assymetric</v>
      </c>
      <c r="AN41" t="str">
        <f t="shared" si="3"/>
        <v>&lt;2,5 heliographic degrees</v>
      </c>
      <c r="AO41" t="str">
        <f t="shared" si="4"/>
        <v>Compact</v>
      </c>
    </row>
    <row r="42" spans="15:41" ht="12.75">
      <c r="O42" s="108" t="s">
        <v>86</v>
      </c>
      <c r="P42" s="108">
        <v>33</v>
      </c>
      <c r="Q42" s="137" t="s">
        <v>16</v>
      </c>
      <c r="R42" s="138"/>
      <c r="S42" s="139" t="s">
        <v>19</v>
      </c>
      <c r="T42" s="140" t="s">
        <v>21</v>
      </c>
      <c r="U42" s="141"/>
      <c r="V42" s="141"/>
      <c r="W42" s="142" t="s">
        <v>118</v>
      </c>
      <c r="X42" s="137" t="s">
        <v>26</v>
      </c>
      <c r="Y42" s="143"/>
      <c r="Z42" s="143"/>
      <c r="AA42" s="143" t="s">
        <v>29</v>
      </c>
      <c r="AB42" s="144"/>
      <c r="AC42" s="137" t="s">
        <v>32</v>
      </c>
      <c r="AD42" s="145" t="s">
        <v>119</v>
      </c>
      <c r="AE42" s="146"/>
      <c r="AF42" s="137" t="s">
        <v>44</v>
      </c>
      <c r="AG42" s="147"/>
      <c r="AH42" s="147"/>
      <c r="AI42" s="147"/>
      <c r="AJ42" s="148" t="s">
        <v>40</v>
      </c>
      <c r="AK42" t="str">
        <f t="shared" si="0"/>
        <v>Bipolar</v>
      </c>
      <c r="AL42" t="str">
        <f t="shared" si="1"/>
        <v>&gt;15 heliographic degrees</v>
      </c>
      <c r="AM42" t="str">
        <f t="shared" si="2"/>
        <v>Assymetric</v>
      </c>
      <c r="AN42" t="str">
        <f t="shared" si="3"/>
        <v>&lt;2,5 heliographic degrees</v>
      </c>
      <c r="AO42" t="str">
        <f t="shared" si="4"/>
        <v>Compact</v>
      </c>
    </row>
    <row r="43" spans="15:41" ht="12.75">
      <c r="O43" s="108" t="s">
        <v>87</v>
      </c>
      <c r="P43" s="108">
        <v>34</v>
      </c>
      <c r="Q43" s="137" t="s">
        <v>16</v>
      </c>
      <c r="R43" s="138"/>
      <c r="S43" s="139" t="s">
        <v>19</v>
      </c>
      <c r="T43" s="140" t="s">
        <v>21</v>
      </c>
      <c r="U43" s="141" t="s">
        <v>116</v>
      </c>
      <c r="V43" s="141"/>
      <c r="W43" s="142"/>
      <c r="X43" s="137" t="s">
        <v>26</v>
      </c>
      <c r="Y43" s="143"/>
      <c r="Z43" s="143"/>
      <c r="AA43" s="143"/>
      <c r="AB43" s="144" t="s">
        <v>30</v>
      </c>
      <c r="AC43" s="137" t="s">
        <v>32</v>
      </c>
      <c r="AD43" s="145" t="s">
        <v>119</v>
      </c>
      <c r="AE43" s="146"/>
      <c r="AF43" s="137" t="s">
        <v>44</v>
      </c>
      <c r="AG43" s="147"/>
      <c r="AH43" s="147"/>
      <c r="AI43" s="147"/>
      <c r="AJ43" s="148" t="s">
        <v>40</v>
      </c>
      <c r="AK43" t="str">
        <f t="shared" si="0"/>
        <v>Bipolar</v>
      </c>
      <c r="AL43" t="str">
        <f t="shared" si="1"/>
        <v>&lt;10 heliographic degrees</v>
      </c>
      <c r="AM43" t="str">
        <f t="shared" si="2"/>
        <v>Symmetric</v>
      </c>
      <c r="AN43" t="str">
        <f t="shared" si="3"/>
        <v>&lt;2,5 heliographic degrees</v>
      </c>
      <c r="AO43" t="str">
        <f t="shared" si="4"/>
        <v>Compact</v>
      </c>
    </row>
    <row r="44" spans="15:41" ht="12.75">
      <c r="O44" s="108" t="s">
        <v>88</v>
      </c>
      <c r="P44" s="108">
        <v>35</v>
      </c>
      <c r="Q44" s="137" t="s">
        <v>16</v>
      </c>
      <c r="R44" s="138"/>
      <c r="S44" s="139" t="s">
        <v>19</v>
      </c>
      <c r="T44" s="140" t="s">
        <v>21</v>
      </c>
      <c r="U44" s="141"/>
      <c r="V44" s="141" t="s">
        <v>117</v>
      </c>
      <c r="W44" s="142"/>
      <c r="X44" s="137" t="s">
        <v>26</v>
      </c>
      <c r="Y44" s="143"/>
      <c r="Z44" s="143"/>
      <c r="AA44" s="143"/>
      <c r="AB44" s="144" t="s">
        <v>30</v>
      </c>
      <c r="AC44" s="137" t="s">
        <v>32</v>
      </c>
      <c r="AD44" s="145" t="s">
        <v>119</v>
      </c>
      <c r="AE44" s="146"/>
      <c r="AF44" s="137" t="s">
        <v>44</v>
      </c>
      <c r="AG44" s="147"/>
      <c r="AH44" s="147"/>
      <c r="AI44" s="147"/>
      <c r="AJ44" s="148" t="s">
        <v>40</v>
      </c>
      <c r="AK44" t="str">
        <f t="shared" si="0"/>
        <v>Bipolar</v>
      </c>
      <c r="AL44" t="str">
        <f t="shared" si="1"/>
        <v>&gt;10&lt;15 heliographic degrees</v>
      </c>
      <c r="AM44" t="str">
        <f t="shared" si="2"/>
        <v>Symmetric</v>
      </c>
      <c r="AN44" t="str">
        <f t="shared" si="3"/>
        <v>&lt;2,5 heliographic degrees</v>
      </c>
      <c r="AO44" t="str">
        <f t="shared" si="4"/>
        <v>Compact</v>
      </c>
    </row>
    <row r="45" spans="15:41" ht="12.75">
      <c r="O45" s="108" t="s">
        <v>89</v>
      </c>
      <c r="P45" s="108">
        <v>36</v>
      </c>
      <c r="Q45" s="137" t="s">
        <v>16</v>
      </c>
      <c r="R45" s="138"/>
      <c r="S45" s="139" t="s">
        <v>19</v>
      </c>
      <c r="T45" s="140" t="s">
        <v>21</v>
      </c>
      <c r="U45" s="141"/>
      <c r="V45" s="141"/>
      <c r="W45" s="142" t="s">
        <v>118</v>
      </c>
      <c r="X45" s="137" t="s">
        <v>26</v>
      </c>
      <c r="Y45" s="143"/>
      <c r="Z45" s="143"/>
      <c r="AA45" s="143"/>
      <c r="AB45" s="144" t="s">
        <v>30</v>
      </c>
      <c r="AC45" s="137" t="s">
        <v>32</v>
      </c>
      <c r="AD45" s="145" t="s">
        <v>119</v>
      </c>
      <c r="AE45" s="146"/>
      <c r="AF45" s="137" t="s">
        <v>44</v>
      </c>
      <c r="AG45" s="147"/>
      <c r="AH45" s="147"/>
      <c r="AI45" s="147"/>
      <c r="AJ45" s="148" t="s">
        <v>40</v>
      </c>
      <c r="AK45" t="str">
        <f t="shared" si="0"/>
        <v>Bipolar</v>
      </c>
      <c r="AL45" t="str">
        <f t="shared" si="1"/>
        <v>&gt;15 heliographic degrees</v>
      </c>
      <c r="AM45" t="str">
        <f t="shared" si="2"/>
        <v>Symmetric</v>
      </c>
      <c r="AN45" t="str">
        <f t="shared" si="3"/>
        <v>&lt;2,5 heliographic degrees</v>
      </c>
      <c r="AO45" t="str">
        <f t="shared" si="4"/>
        <v>Compact</v>
      </c>
    </row>
    <row r="46" spans="15:41" ht="12.75">
      <c r="O46" s="108" t="s">
        <v>90</v>
      </c>
      <c r="P46" s="108">
        <v>37</v>
      </c>
      <c r="Q46" s="137" t="s">
        <v>16</v>
      </c>
      <c r="R46" s="138" t="s">
        <v>17</v>
      </c>
      <c r="S46" s="139"/>
      <c r="T46" s="140" t="s">
        <v>21</v>
      </c>
      <c r="U46" s="141"/>
      <c r="V46" s="141"/>
      <c r="W46" s="142"/>
      <c r="X46" s="137" t="s">
        <v>26</v>
      </c>
      <c r="Y46" s="143"/>
      <c r="Z46" s="143"/>
      <c r="AA46" s="143" t="s">
        <v>29</v>
      </c>
      <c r="AB46" s="144"/>
      <c r="AC46" s="137" t="s">
        <v>32</v>
      </c>
      <c r="AD46" s="145"/>
      <c r="AE46" s="146" t="s">
        <v>120</v>
      </c>
      <c r="AF46" s="137" t="s">
        <v>44</v>
      </c>
      <c r="AG46" s="147" t="s">
        <v>37</v>
      </c>
      <c r="AH46" s="147"/>
      <c r="AI46" s="147"/>
      <c r="AJ46" s="148"/>
      <c r="AK46" t="str">
        <f t="shared" si="0"/>
        <v>Unipolar</v>
      </c>
      <c r="AL46">
        <f t="shared" si="1"/>
      </c>
      <c r="AM46" t="str">
        <f t="shared" si="2"/>
        <v>Assymetric</v>
      </c>
      <c r="AN46" t="str">
        <f t="shared" si="3"/>
        <v>&gt;2,5 heliographic degrees</v>
      </c>
      <c r="AO46" t="str">
        <f t="shared" si="4"/>
        <v>Single</v>
      </c>
    </row>
    <row r="47" spans="15:41" ht="12.75">
      <c r="O47" s="108" t="s">
        <v>91</v>
      </c>
      <c r="P47" s="108">
        <v>38</v>
      </c>
      <c r="Q47" s="137" t="s">
        <v>16</v>
      </c>
      <c r="R47" s="138"/>
      <c r="S47" s="139" t="s">
        <v>19</v>
      </c>
      <c r="T47" s="140" t="s">
        <v>21</v>
      </c>
      <c r="U47" s="141"/>
      <c r="V47" s="141"/>
      <c r="W47" s="142"/>
      <c r="X47" s="137" t="s">
        <v>26</v>
      </c>
      <c r="Y47" s="143"/>
      <c r="Z47" s="143"/>
      <c r="AA47" s="143" t="s">
        <v>29</v>
      </c>
      <c r="AB47" s="144"/>
      <c r="AC47" s="137" t="s">
        <v>32</v>
      </c>
      <c r="AD47" s="145"/>
      <c r="AE47" s="146" t="s">
        <v>120</v>
      </c>
      <c r="AF47" s="137" t="s">
        <v>44</v>
      </c>
      <c r="AG47" s="147"/>
      <c r="AH47" s="147" t="s">
        <v>38</v>
      </c>
      <c r="AI47" s="147"/>
      <c r="AJ47" s="148"/>
      <c r="AK47" t="str">
        <f t="shared" si="0"/>
        <v>Bipolar</v>
      </c>
      <c r="AL47">
        <f t="shared" si="1"/>
      </c>
      <c r="AM47" t="str">
        <f t="shared" si="2"/>
        <v>Assymetric</v>
      </c>
      <c r="AN47" t="str">
        <f t="shared" si="3"/>
        <v>&gt;2,5 heliographic degrees</v>
      </c>
      <c r="AO47" t="str">
        <f t="shared" si="4"/>
        <v>Open</v>
      </c>
    </row>
    <row r="48" spans="15:41" ht="12.75">
      <c r="O48" s="108" t="s">
        <v>92</v>
      </c>
      <c r="P48" s="108">
        <v>39</v>
      </c>
      <c r="Q48" s="137" t="s">
        <v>16</v>
      </c>
      <c r="R48" s="138"/>
      <c r="S48" s="139" t="s">
        <v>19</v>
      </c>
      <c r="T48" s="140" t="s">
        <v>21</v>
      </c>
      <c r="U48" s="141"/>
      <c r="V48" s="141"/>
      <c r="W48" s="142"/>
      <c r="X48" s="137" t="s">
        <v>26</v>
      </c>
      <c r="Y48" s="143"/>
      <c r="Z48" s="143"/>
      <c r="AA48" s="143" t="s">
        <v>29</v>
      </c>
      <c r="AB48" s="144"/>
      <c r="AC48" s="137" t="s">
        <v>32</v>
      </c>
      <c r="AD48" s="145"/>
      <c r="AE48" s="146" t="s">
        <v>120</v>
      </c>
      <c r="AF48" s="137" t="s">
        <v>44</v>
      </c>
      <c r="AG48" s="147"/>
      <c r="AH48" s="147"/>
      <c r="AI48" s="147" t="s">
        <v>39</v>
      </c>
      <c r="AJ48" s="148"/>
      <c r="AK48" t="str">
        <f t="shared" si="0"/>
        <v>Bipolar</v>
      </c>
      <c r="AL48">
        <f t="shared" si="1"/>
      </c>
      <c r="AM48" t="str">
        <f t="shared" si="2"/>
        <v>Assymetric</v>
      </c>
      <c r="AN48" t="str">
        <f t="shared" si="3"/>
        <v>&gt;2,5 heliographic degrees</v>
      </c>
      <c r="AO48" t="str">
        <f t="shared" si="4"/>
        <v>Intermediate</v>
      </c>
    </row>
    <row r="49" spans="15:41" ht="12.75">
      <c r="O49" s="108" t="s">
        <v>93</v>
      </c>
      <c r="P49" s="108">
        <v>40</v>
      </c>
      <c r="Q49" s="137" t="s">
        <v>16</v>
      </c>
      <c r="R49" s="138" t="s">
        <v>17</v>
      </c>
      <c r="S49" s="139"/>
      <c r="T49" s="140" t="s">
        <v>21</v>
      </c>
      <c r="U49" s="141"/>
      <c r="V49" s="141"/>
      <c r="W49" s="142"/>
      <c r="X49" s="137" t="s">
        <v>26</v>
      </c>
      <c r="Y49" s="143"/>
      <c r="Z49" s="143"/>
      <c r="AA49" s="143"/>
      <c r="AB49" s="144" t="s">
        <v>30</v>
      </c>
      <c r="AC49" s="137" t="s">
        <v>32</v>
      </c>
      <c r="AD49" s="145"/>
      <c r="AE49" s="146" t="s">
        <v>120</v>
      </c>
      <c r="AF49" s="137" t="s">
        <v>44</v>
      </c>
      <c r="AG49" s="147" t="s">
        <v>37</v>
      </c>
      <c r="AH49" s="147"/>
      <c r="AI49" s="147"/>
      <c r="AJ49" s="148"/>
      <c r="AK49" t="str">
        <f t="shared" si="0"/>
        <v>Unipolar</v>
      </c>
      <c r="AL49">
        <f t="shared" si="1"/>
      </c>
      <c r="AM49" t="str">
        <f t="shared" si="2"/>
        <v>Symmetric</v>
      </c>
      <c r="AN49" t="str">
        <f t="shared" si="3"/>
        <v>&gt;2,5 heliographic degrees</v>
      </c>
      <c r="AO49" t="str">
        <f t="shared" si="4"/>
        <v>Single</v>
      </c>
    </row>
    <row r="50" spans="15:41" ht="12.75">
      <c r="O50" s="108" t="s">
        <v>94</v>
      </c>
      <c r="P50" s="108">
        <v>41</v>
      </c>
      <c r="Q50" s="137" t="s">
        <v>16</v>
      </c>
      <c r="R50" s="138"/>
      <c r="S50" s="139" t="s">
        <v>19</v>
      </c>
      <c r="T50" s="140" t="s">
        <v>21</v>
      </c>
      <c r="U50" s="141"/>
      <c r="V50" s="141"/>
      <c r="W50" s="142"/>
      <c r="X50" s="137" t="s">
        <v>26</v>
      </c>
      <c r="Y50" s="143"/>
      <c r="Z50" s="143"/>
      <c r="AA50" s="143"/>
      <c r="AB50" s="144" t="s">
        <v>30</v>
      </c>
      <c r="AC50" s="137" t="s">
        <v>32</v>
      </c>
      <c r="AD50" s="145"/>
      <c r="AE50" s="146" t="s">
        <v>120</v>
      </c>
      <c r="AF50" s="137" t="s">
        <v>44</v>
      </c>
      <c r="AG50" s="147"/>
      <c r="AH50" s="147" t="s">
        <v>38</v>
      </c>
      <c r="AI50" s="147"/>
      <c r="AJ50" s="148"/>
      <c r="AK50" t="str">
        <f t="shared" si="0"/>
        <v>Bipolar</v>
      </c>
      <c r="AL50">
        <f t="shared" si="1"/>
      </c>
      <c r="AM50" t="str">
        <f t="shared" si="2"/>
        <v>Symmetric</v>
      </c>
      <c r="AN50" t="str">
        <f t="shared" si="3"/>
        <v>&gt;2,5 heliographic degrees</v>
      </c>
      <c r="AO50" t="str">
        <f t="shared" si="4"/>
        <v>Open</v>
      </c>
    </row>
    <row r="51" spans="15:41" ht="12.75">
      <c r="O51" s="108" t="s">
        <v>95</v>
      </c>
      <c r="P51" s="108">
        <v>42</v>
      </c>
      <c r="Q51" s="137" t="s">
        <v>16</v>
      </c>
      <c r="R51" s="138"/>
      <c r="S51" s="139" t="s">
        <v>19</v>
      </c>
      <c r="T51" s="140" t="s">
        <v>21</v>
      </c>
      <c r="U51" s="141"/>
      <c r="V51" s="141"/>
      <c r="W51" s="142"/>
      <c r="X51" s="137" t="s">
        <v>26</v>
      </c>
      <c r="Y51" s="143"/>
      <c r="Z51" s="143"/>
      <c r="AA51" s="143"/>
      <c r="AB51" s="144" t="s">
        <v>30</v>
      </c>
      <c r="AC51" s="137" t="s">
        <v>32</v>
      </c>
      <c r="AD51" s="145"/>
      <c r="AE51" s="146" t="s">
        <v>120</v>
      </c>
      <c r="AF51" s="137" t="s">
        <v>44</v>
      </c>
      <c r="AG51" s="147"/>
      <c r="AH51" s="147"/>
      <c r="AI51" s="147" t="s">
        <v>39</v>
      </c>
      <c r="AJ51" s="148"/>
      <c r="AK51" t="str">
        <f t="shared" si="0"/>
        <v>Bipolar</v>
      </c>
      <c r="AL51">
        <f t="shared" si="1"/>
      </c>
      <c r="AM51" t="str">
        <f t="shared" si="2"/>
        <v>Symmetric</v>
      </c>
      <c r="AN51" t="str">
        <f t="shared" si="3"/>
        <v>&gt;2,5 heliographic degrees</v>
      </c>
      <c r="AO51" t="str">
        <f t="shared" si="4"/>
        <v>Intermediate</v>
      </c>
    </row>
    <row r="52" spans="15:41" ht="12.75">
      <c r="O52" s="108" t="s">
        <v>96</v>
      </c>
      <c r="P52" s="108">
        <v>43</v>
      </c>
      <c r="Q52" s="137" t="s">
        <v>16</v>
      </c>
      <c r="R52" s="138"/>
      <c r="S52" s="139" t="s">
        <v>19</v>
      </c>
      <c r="T52" s="140" t="s">
        <v>21</v>
      </c>
      <c r="U52" s="141" t="s">
        <v>116</v>
      </c>
      <c r="V52" s="141"/>
      <c r="W52" s="142"/>
      <c r="X52" s="137" t="s">
        <v>26</v>
      </c>
      <c r="Y52" s="143"/>
      <c r="Z52" s="143"/>
      <c r="AA52" s="143" t="s">
        <v>29</v>
      </c>
      <c r="AB52" s="144"/>
      <c r="AC52" s="137" t="s">
        <v>32</v>
      </c>
      <c r="AD52" s="145"/>
      <c r="AE52" s="146" t="s">
        <v>120</v>
      </c>
      <c r="AF52" s="137" t="s">
        <v>44</v>
      </c>
      <c r="AG52" s="147"/>
      <c r="AH52" s="147" t="s">
        <v>38</v>
      </c>
      <c r="AI52" s="147"/>
      <c r="AJ52" s="148"/>
      <c r="AK52" t="str">
        <f t="shared" si="0"/>
        <v>Bipolar</v>
      </c>
      <c r="AL52" t="str">
        <f t="shared" si="1"/>
        <v>&lt;10 heliographic degrees</v>
      </c>
      <c r="AM52" t="str">
        <f t="shared" si="2"/>
        <v>Assymetric</v>
      </c>
      <c r="AN52" t="str">
        <f t="shared" si="3"/>
        <v>&gt;2,5 heliographic degrees</v>
      </c>
      <c r="AO52" t="str">
        <f t="shared" si="4"/>
        <v>Open</v>
      </c>
    </row>
    <row r="53" spans="15:41" ht="12.75">
      <c r="O53" s="108" t="s">
        <v>97</v>
      </c>
      <c r="P53" s="108">
        <v>44</v>
      </c>
      <c r="Q53" s="137" t="s">
        <v>16</v>
      </c>
      <c r="R53" s="138"/>
      <c r="S53" s="139" t="s">
        <v>19</v>
      </c>
      <c r="T53" s="140" t="s">
        <v>21</v>
      </c>
      <c r="U53" s="141"/>
      <c r="V53" s="141" t="s">
        <v>117</v>
      </c>
      <c r="W53" s="142"/>
      <c r="X53" s="137" t="s">
        <v>26</v>
      </c>
      <c r="Y53" s="143"/>
      <c r="Z53" s="143"/>
      <c r="AA53" s="143" t="s">
        <v>29</v>
      </c>
      <c r="AB53" s="144"/>
      <c r="AC53" s="137" t="s">
        <v>32</v>
      </c>
      <c r="AD53" s="145"/>
      <c r="AE53" s="146" t="s">
        <v>120</v>
      </c>
      <c r="AF53" s="137" t="s">
        <v>44</v>
      </c>
      <c r="AG53" s="147"/>
      <c r="AH53" s="147" t="s">
        <v>38</v>
      </c>
      <c r="AI53" s="147"/>
      <c r="AJ53" s="148"/>
      <c r="AK53" t="str">
        <f t="shared" si="0"/>
        <v>Bipolar</v>
      </c>
      <c r="AL53" t="str">
        <f t="shared" si="1"/>
        <v>&gt;10&lt;15 heliographic degrees</v>
      </c>
      <c r="AM53" t="str">
        <f t="shared" si="2"/>
        <v>Assymetric</v>
      </c>
      <c r="AN53" t="str">
        <f t="shared" si="3"/>
        <v>&gt;2,5 heliographic degrees</v>
      </c>
      <c r="AO53" t="str">
        <f t="shared" si="4"/>
        <v>Open</v>
      </c>
    </row>
    <row r="54" spans="15:41" ht="12.75">
      <c r="O54" s="108" t="s">
        <v>98</v>
      </c>
      <c r="P54" s="108">
        <v>45</v>
      </c>
      <c r="Q54" s="137" t="s">
        <v>16</v>
      </c>
      <c r="R54" s="138"/>
      <c r="S54" s="139" t="s">
        <v>19</v>
      </c>
      <c r="T54" s="140" t="s">
        <v>21</v>
      </c>
      <c r="U54" s="141"/>
      <c r="V54" s="141"/>
      <c r="W54" s="142" t="s">
        <v>118</v>
      </c>
      <c r="X54" s="137" t="s">
        <v>26</v>
      </c>
      <c r="Y54" s="143"/>
      <c r="Z54" s="143"/>
      <c r="AA54" s="143" t="s">
        <v>29</v>
      </c>
      <c r="AB54" s="144"/>
      <c r="AC54" s="137" t="s">
        <v>32</v>
      </c>
      <c r="AD54" s="145"/>
      <c r="AE54" s="146" t="s">
        <v>120</v>
      </c>
      <c r="AF54" s="137" t="s">
        <v>44</v>
      </c>
      <c r="AG54" s="147"/>
      <c r="AH54" s="147" t="s">
        <v>38</v>
      </c>
      <c r="AI54" s="147"/>
      <c r="AJ54" s="148"/>
      <c r="AK54" t="str">
        <f t="shared" si="0"/>
        <v>Bipolar</v>
      </c>
      <c r="AL54" t="str">
        <f t="shared" si="1"/>
        <v>&gt;15 heliographic degrees</v>
      </c>
      <c r="AM54" t="str">
        <f t="shared" si="2"/>
        <v>Assymetric</v>
      </c>
      <c r="AN54" t="str">
        <f t="shared" si="3"/>
        <v>&gt;2,5 heliographic degrees</v>
      </c>
      <c r="AO54" t="str">
        <f t="shared" si="4"/>
        <v>Open</v>
      </c>
    </row>
    <row r="55" spans="15:41" ht="12.75">
      <c r="O55" s="108" t="s">
        <v>99</v>
      </c>
      <c r="P55" s="108">
        <v>46</v>
      </c>
      <c r="Q55" s="137" t="s">
        <v>16</v>
      </c>
      <c r="R55" s="138"/>
      <c r="S55" s="139" t="s">
        <v>19</v>
      </c>
      <c r="T55" s="140" t="s">
        <v>21</v>
      </c>
      <c r="U55" s="141" t="s">
        <v>116</v>
      </c>
      <c r="V55" s="141"/>
      <c r="W55" s="142"/>
      <c r="X55" s="137" t="s">
        <v>26</v>
      </c>
      <c r="Y55" s="143"/>
      <c r="Z55" s="143"/>
      <c r="AA55" s="143" t="s">
        <v>29</v>
      </c>
      <c r="AB55" s="144"/>
      <c r="AC55" s="137" t="s">
        <v>32</v>
      </c>
      <c r="AD55" s="145"/>
      <c r="AE55" s="146" t="s">
        <v>120</v>
      </c>
      <c r="AF55" s="137" t="s">
        <v>44</v>
      </c>
      <c r="AG55" s="147"/>
      <c r="AH55" s="147"/>
      <c r="AI55" s="147" t="s">
        <v>39</v>
      </c>
      <c r="AJ55" s="148"/>
      <c r="AK55" t="str">
        <f t="shared" si="0"/>
        <v>Bipolar</v>
      </c>
      <c r="AL55" t="str">
        <f t="shared" si="1"/>
        <v>&lt;10 heliographic degrees</v>
      </c>
      <c r="AM55" t="str">
        <f t="shared" si="2"/>
        <v>Assymetric</v>
      </c>
      <c r="AN55" t="str">
        <f t="shared" si="3"/>
        <v>&gt;2,5 heliographic degrees</v>
      </c>
      <c r="AO55" t="str">
        <f t="shared" si="4"/>
        <v>Intermediate</v>
      </c>
    </row>
    <row r="56" spans="15:41" ht="12.75">
      <c r="O56" s="108" t="s">
        <v>100</v>
      </c>
      <c r="P56" s="108">
        <v>47</v>
      </c>
      <c r="Q56" s="137" t="s">
        <v>16</v>
      </c>
      <c r="R56" s="138"/>
      <c r="S56" s="139" t="s">
        <v>19</v>
      </c>
      <c r="T56" s="140" t="s">
        <v>21</v>
      </c>
      <c r="U56" s="141"/>
      <c r="V56" s="141" t="s">
        <v>117</v>
      </c>
      <c r="W56" s="142"/>
      <c r="X56" s="137" t="s">
        <v>26</v>
      </c>
      <c r="Y56" s="143"/>
      <c r="Z56" s="143"/>
      <c r="AA56" s="143" t="s">
        <v>29</v>
      </c>
      <c r="AB56" s="144"/>
      <c r="AC56" s="137" t="s">
        <v>32</v>
      </c>
      <c r="AD56" s="145"/>
      <c r="AE56" s="146" t="s">
        <v>120</v>
      </c>
      <c r="AF56" s="137" t="s">
        <v>44</v>
      </c>
      <c r="AG56" s="147"/>
      <c r="AH56" s="147"/>
      <c r="AI56" s="147" t="s">
        <v>39</v>
      </c>
      <c r="AJ56" s="148"/>
      <c r="AK56" t="str">
        <f t="shared" si="0"/>
        <v>Bipolar</v>
      </c>
      <c r="AL56" t="str">
        <f t="shared" si="1"/>
        <v>&gt;10&lt;15 heliographic degrees</v>
      </c>
      <c r="AM56" t="str">
        <f t="shared" si="2"/>
        <v>Assymetric</v>
      </c>
      <c r="AN56" t="str">
        <f t="shared" si="3"/>
        <v>&gt;2,5 heliographic degrees</v>
      </c>
      <c r="AO56" t="str">
        <f t="shared" si="4"/>
        <v>Intermediate</v>
      </c>
    </row>
    <row r="57" spans="15:41" ht="12.75">
      <c r="O57" s="108" t="s">
        <v>101</v>
      </c>
      <c r="P57" s="108">
        <v>48</v>
      </c>
      <c r="Q57" s="137" t="s">
        <v>16</v>
      </c>
      <c r="R57" s="138"/>
      <c r="S57" s="139" t="s">
        <v>19</v>
      </c>
      <c r="T57" s="140" t="s">
        <v>21</v>
      </c>
      <c r="U57" s="141"/>
      <c r="V57" s="141"/>
      <c r="W57" s="142" t="s">
        <v>118</v>
      </c>
      <c r="X57" s="137" t="s">
        <v>26</v>
      </c>
      <c r="Y57" s="143"/>
      <c r="Z57" s="143"/>
      <c r="AA57" s="143" t="s">
        <v>29</v>
      </c>
      <c r="AB57" s="144"/>
      <c r="AC57" s="137" t="s">
        <v>32</v>
      </c>
      <c r="AD57" s="145"/>
      <c r="AE57" s="146" t="s">
        <v>120</v>
      </c>
      <c r="AF57" s="137" t="s">
        <v>44</v>
      </c>
      <c r="AG57" s="147"/>
      <c r="AH57" s="147"/>
      <c r="AI57" s="147" t="s">
        <v>39</v>
      </c>
      <c r="AJ57" s="148"/>
      <c r="AK57" t="str">
        <f t="shared" si="0"/>
        <v>Bipolar</v>
      </c>
      <c r="AL57" t="str">
        <f t="shared" si="1"/>
        <v>&gt;15 heliographic degrees</v>
      </c>
      <c r="AM57" t="str">
        <f t="shared" si="2"/>
        <v>Assymetric</v>
      </c>
      <c r="AN57" t="str">
        <f t="shared" si="3"/>
        <v>&gt;2,5 heliographic degrees</v>
      </c>
      <c r="AO57" t="str">
        <f t="shared" si="4"/>
        <v>Intermediate</v>
      </c>
    </row>
    <row r="58" spans="15:41" ht="12.75">
      <c r="O58" s="108" t="s">
        <v>102</v>
      </c>
      <c r="P58" s="108">
        <v>49</v>
      </c>
      <c r="Q58" s="137" t="s">
        <v>16</v>
      </c>
      <c r="R58" s="138"/>
      <c r="S58" s="139" t="s">
        <v>19</v>
      </c>
      <c r="T58" s="140" t="s">
        <v>21</v>
      </c>
      <c r="U58" s="141" t="s">
        <v>116</v>
      </c>
      <c r="V58" s="141"/>
      <c r="W58" s="142"/>
      <c r="X58" s="137" t="s">
        <v>26</v>
      </c>
      <c r="Y58" s="143"/>
      <c r="Z58" s="143"/>
      <c r="AA58" s="143"/>
      <c r="AB58" s="144" t="s">
        <v>30</v>
      </c>
      <c r="AC58" s="137" t="s">
        <v>32</v>
      </c>
      <c r="AD58" s="145"/>
      <c r="AE58" s="146" t="s">
        <v>120</v>
      </c>
      <c r="AF58" s="137" t="s">
        <v>44</v>
      </c>
      <c r="AG58" s="147"/>
      <c r="AH58" s="147" t="s">
        <v>38</v>
      </c>
      <c r="AI58" s="147"/>
      <c r="AJ58" s="148"/>
      <c r="AK58" t="str">
        <f t="shared" si="0"/>
        <v>Bipolar</v>
      </c>
      <c r="AL58" t="str">
        <f t="shared" si="1"/>
        <v>&lt;10 heliographic degrees</v>
      </c>
      <c r="AM58" t="str">
        <f t="shared" si="2"/>
        <v>Symmetric</v>
      </c>
      <c r="AN58" t="str">
        <f t="shared" si="3"/>
        <v>&gt;2,5 heliographic degrees</v>
      </c>
      <c r="AO58" t="str">
        <f t="shared" si="4"/>
        <v>Open</v>
      </c>
    </row>
    <row r="59" spans="15:41" ht="12.75">
      <c r="O59" s="108" t="s">
        <v>103</v>
      </c>
      <c r="P59" s="108">
        <v>50</v>
      </c>
      <c r="Q59" s="137" t="s">
        <v>16</v>
      </c>
      <c r="R59" s="138"/>
      <c r="S59" s="139" t="s">
        <v>19</v>
      </c>
      <c r="T59" s="140" t="s">
        <v>21</v>
      </c>
      <c r="U59" s="141"/>
      <c r="V59" s="141" t="s">
        <v>117</v>
      </c>
      <c r="W59" s="142"/>
      <c r="X59" s="137" t="s">
        <v>26</v>
      </c>
      <c r="Y59" s="143"/>
      <c r="Z59" s="143"/>
      <c r="AA59" s="143"/>
      <c r="AB59" s="144" t="s">
        <v>30</v>
      </c>
      <c r="AC59" s="137" t="s">
        <v>32</v>
      </c>
      <c r="AD59" s="145"/>
      <c r="AE59" s="146" t="s">
        <v>120</v>
      </c>
      <c r="AF59" s="137" t="s">
        <v>44</v>
      </c>
      <c r="AG59" s="147"/>
      <c r="AH59" s="147" t="s">
        <v>38</v>
      </c>
      <c r="AI59" s="147"/>
      <c r="AJ59" s="148"/>
      <c r="AK59" t="str">
        <f t="shared" si="0"/>
        <v>Bipolar</v>
      </c>
      <c r="AL59" t="str">
        <f t="shared" si="1"/>
        <v>&gt;10&lt;15 heliographic degrees</v>
      </c>
      <c r="AM59" t="str">
        <f t="shared" si="2"/>
        <v>Symmetric</v>
      </c>
      <c r="AN59" t="str">
        <f t="shared" si="3"/>
        <v>&gt;2,5 heliographic degrees</v>
      </c>
      <c r="AO59" t="str">
        <f t="shared" si="4"/>
        <v>Open</v>
      </c>
    </row>
    <row r="60" spans="15:41" ht="12.75">
      <c r="O60" s="108" t="s">
        <v>104</v>
      </c>
      <c r="P60" s="108">
        <v>51</v>
      </c>
      <c r="Q60" s="137" t="s">
        <v>16</v>
      </c>
      <c r="R60" s="138"/>
      <c r="S60" s="139" t="s">
        <v>19</v>
      </c>
      <c r="T60" s="140" t="s">
        <v>21</v>
      </c>
      <c r="U60" s="141"/>
      <c r="V60" s="141"/>
      <c r="W60" s="142" t="s">
        <v>118</v>
      </c>
      <c r="X60" s="137" t="s">
        <v>26</v>
      </c>
      <c r="Y60" s="143"/>
      <c r="Z60" s="143"/>
      <c r="AA60" s="143"/>
      <c r="AB60" s="144" t="s">
        <v>30</v>
      </c>
      <c r="AC60" s="137" t="s">
        <v>32</v>
      </c>
      <c r="AD60" s="145"/>
      <c r="AE60" s="146" t="s">
        <v>120</v>
      </c>
      <c r="AF60" s="137" t="s">
        <v>44</v>
      </c>
      <c r="AG60" s="147"/>
      <c r="AH60" s="147" t="s">
        <v>38</v>
      </c>
      <c r="AI60" s="147"/>
      <c r="AJ60" s="148"/>
      <c r="AK60" t="str">
        <f t="shared" si="0"/>
        <v>Bipolar</v>
      </c>
      <c r="AL60" t="str">
        <f t="shared" si="1"/>
        <v>&gt;15 heliographic degrees</v>
      </c>
      <c r="AM60" t="str">
        <f t="shared" si="2"/>
        <v>Symmetric</v>
      </c>
      <c r="AN60" t="str">
        <f t="shared" si="3"/>
        <v>&gt;2,5 heliographic degrees</v>
      </c>
      <c r="AO60" t="str">
        <f t="shared" si="4"/>
        <v>Open</v>
      </c>
    </row>
    <row r="61" spans="15:41" ht="12.75">
      <c r="O61" s="108" t="s">
        <v>105</v>
      </c>
      <c r="P61" s="108">
        <v>52</v>
      </c>
      <c r="Q61" s="137" t="s">
        <v>16</v>
      </c>
      <c r="R61" s="138"/>
      <c r="S61" s="139" t="s">
        <v>19</v>
      </c>
      <c r="T61" s="140" t="s">
        <v>21</v>
      </c>
      <c r="U61" s="141" t="s">
        <v>116</v>
      </c>
      <c r="V61" s="141"/>
      <c r="W61" s="142"/>
      <c r="X61" s="137" t="s">
        <v>26</v>
      </c>
      <c r="Y61" s="143"/>
      <c r="Z61" s="143"/>
      <c r="AA61" s="143"/>
      <c r="AB61" s="144" t="s">
        <v>30</v>
      </c>
      <c r="AC61" s="137" t="s">
        <v>32</v>
      </c>
      <c r="AD61" s="145"/>
      <c r="AE61" s="146" t="s">
        <v>120</v>
      </c>
      <c r="AF61" s="137" t="s">
        <v>44</v>
      </c>
      <c r="AG61" s="147"/>
      <c r="AH61" s="147"/>
      <c r="AI61" s="147" t="s">
        <v>39</v>
      </c>
      <c r="AJ61" s="148"/>
      <c r="AK61" t="str">
        <f t="shared" si="0"/>
        <v>Bipolar</v>
      </c>
      <c r="AL61" t="str">
        <f t="shared" si="1"/>
        <v>&lt;10 heliographic degrees</v>
      </c>
      <c r="AM61" t="str">
        <f t="shared" si="2"/>
        <v>Symmetric</v>
      </c>
      <c r="AN61" t="str">
        <f t="shared" si="3"/>
        <v>&gt;2,5 heliographic degrees</v>
      </c>
      <c r="AO61" t="str">
        <f t="shared" si="4"/>
        <v>Intermediate</v>
      </c>
    </row>
    <row r="62" spans="15:41" ht="12.75">
      <c r="O62" s="108" t="s">
        <v>106</v>
      </c>
      <c r="P62" s="108">
        <v>53</v>
      </c>
      <c r="Q62" s="137" t="s">
        <v>16</v>
      </c>
      <c r="R62" s="138"/>
      <c r="S62" s="139" t="s">
        <v>19</v>
      </c>
      <c r="T62" s="140" t="s">
        <v>21</v>
      </c>
      <c r="U62" s="141"/>
      <c r="V62" s="141" t="s">
        <v>117</v>
      </c>
      <c r="W62" s="142"/>
      <c r="X62" s="137" t="s">
        <v>26</v>
      </c>
      <c r="Y62" s="143"/>
      <c r="Z62" s="143"/>
      <c r="AA62" s="143"/>
      <c r="AB62" s="144" t="s">
        <v>30</v>
      </c>
      <c r="AC62" s="137" t="s">
        <v>32</v>
      </c>
      <c r="AD62" s="145"/>
      <c r="AE62" s="146" t="s">
        <v>120</v>
      </c>
      <c r="AF62" s="137" t="s">
        <v>44</v>
      </c>
      <c r="AG62" s="147"/>
      <c r="AH62" s="147"/>
      <c r="AI62" s="147" t="s">
        <v>39</v>
      </c>
      <c r="AJ62" s="148"/>
      <c r="AK62" t="str">
        <f t="shared" si="0"/>
        <v>Bipolar</v>
      </c>
      <c r="AL62" t="str">
        <f t="shared" si="1"/>
        <v>&gt;10&lt;15 heliographic degrees</v>
      </c>
      <c r="AM62" t="str">
        <f t="shared" si="2"/>
        <v>Symmetric</v>
      </c>
      <c r="AN62" t="str">
        <f t="shared" si="3"/>
        <v>&gt;2,5 heliographic degrees</v>
      </c>
      <c r="AO62" t="str">
        <f t="shared" si="4"/>
        <v>Intermediate</v>
      </c>
    </row>
    <row r="63" spans="15:41" ht="12.75">
      <c r="O63" s="108" t="s">
        <v>107</v>
      </c>
      <c r="P63" s="108">
        <v>54</v>
      </c>
      <c r="Q63" s="137" t="s">
        <v>16</v>
      </c>
      <c r="R63" s="138"/>
      <c r="S63" s="139" t="s">
        <v>19</v>
      </c>
      <c r="T63" s="140" t="s">
        <v>21</v>
      </c>
      <c r="U63" s="141"/>
      <c r="V63" s="141"/>
      <c r="W63" s="142" t="s">
        <v>118</v>
      </c>
      <c r="X63" s="137" t="s">
        <v>26</v>
      </c>
      <c r="Y63" s="143"/>
      <c r="Z63" s="143"/>
      <c r="AA63" s="143"/>
      <c r="AB63" s="144" t="s">
        <v>30</v>
      </c>
      <c r="AC63" s="137" t="s">
        <v>32</v>
      </c>
      <c r="AD63" s="145"/>
      <c r="AE63" s="146" t="s">
        <v>120</v>
      </c>
      <c r="AF63" s="137" t="s">
        <v>44</v>
      </c>
      <c r="AG63" s="147"/>
      <c r="AH63" s="147"/>
      <c r="AI63" s="147" t="s">
        <v>39</v>
      </c>
      <c r="AJ63" s="148"/>
      <c r="AK63" t="str">
        <f t="shared" si="0"/>
        <v>Bipolar</v>
      </c>
      <c r="AL63" t="str">
        <f t="shared" si="1"/>
        <v>&gt;15 heliographic degrees</v>
      </c>
      <c r="AM63" t="str">
        <f t="shared" si="2"/>
        <v>Symmetric</v>
      </c>
      <c r="AN63" t="str">
        <f t="shared" si="3"/>
        <v>&gt;2,5 heliographic degrees</v>
      </c>
      <c r="AO63" t="str">
        <f t="shared" si="4"/>
        <v>Intermediate</v>
      </c>
    </row>
    <row r="64" spans="15:41" ht="12.75">
      <c r="O64" s="108" t="s">
        <v>108</v>
      </c>
      <c r="P64" s="108">
        <v>55</v>
      </c>
      <c r="Q64" s="137" t="s">
        <v>16</v>
      </c>
      <c r="R64" s="138"/>
      <c r="S64" s="139" t="s">
        <v>19</v>
      </c>
      <c r="T64" s="140" t="s">
        <v>21</v>
      </c>
      <c r="U64" s="141" t="s">
        <v>116</v>
      </c>
      <c r="V64" s="141"/>
      <c r="W64" s="142"/>
      <c r="X64" s="137" t="s">
        <v>26</v>
      </c>
      <c r="Y64" s="143"/>
      <c r="Z64" s="143"/>
      <c r="AA64" s="143" t="s">
        <v>29</v>
      </c>
      <c r="AB64" s="144"/>
      <c r="AC64" s="137" t="s">
        <v>32</v>
      </c>
      <c r="AD64" s="145"/>
      <c r="AE64" s="146" t="s">
        <v>120</v>
      </c>
      <c r="AF64" s="137" t="s">
        <v>44</v>
      </c>
      <c r="AG64" s="147"/>
      <c r="AH64" s="147"/>
      <c r="AI64" s="147"/>
      <c r="AJ64" s="148" t="s">
        <v>40</v>
      </c>
      <c r="AK64" t="str">
        <f t="shared" si="0"/>
        <v>Bipolar</v>
      </c>
      <c r="AL64" t="str">
        <f t="shared" si="1"/>
        <v>&lt;10 heliographic degrees</v>
      </c>
      <c r="AM64" t="str">
        <f t="shared" si="2"/>
        <v>Assymetric</v>
      </c>
      <c r="AN64" t="str">
        <f t="shared" si="3"/>
        <v>&gt;2,5 heliographic degrees</v>
      </c>
      <c r="AO64" t="str">
        <f t="shared" si="4"/>
        <v>Compact</v>
      </c>
    </row>
    <row r="65" spans="15:41" ht="12.75">
      <c r="O65" s="108" t="s">
        <v>109</v>
      </c>
      <c r="P65" s="108">
        <v>56</v>
      </c>
      <c r="Q65" s="137" t="s">
        <v>16</v>
      </c>
      <c r="R65" s="138"/>
      <c r="S65" s="139" t="s">
        <v>19</v>
      </c>
      <c r="T65" s="140" t="s">
        <v>21</v>
      </c>
      <c r="U65" s="141"/>
      <c r="V65" s="141" t="s">
        <v>117</v>
      </c>
      <c r="W65" s="142"/>
      <c r="X65" s="137" t="s">
        <v>26</v>
      </c>
      <c r="Y65" s="143"/>
      <c r="Z65" s="143"/>
      <c r="AA65" s="143" t="s">
        <v>29</v>
      </c>
      <c r="AB65" s="144"/>
      <c r="AC65" s="137" t="s">
        <v>32</v>
      </c>
      <c r="AD65" s="145"/>
      <c r="AE65" s="146" t="s">
        <v>120</v>
      </c>
      <c r="AF65" s="137" t="s">
        <v>44</v>
      </c>
      <c r="AG65" s="147"/>
      <c r="AH65" s="147"/>
      <c r="AI65" s="147"/>
      <c r="AJ65" s="148" t="s">
        <v>40</v>
      </c>
      <c r="AK65" t="str">
        <f t="shared" si="0"/>
        <v>Bipolar</v>
      </c>
      <c r="AL65" t="str">
        <f t="shared" si="1"/>
        <v>&gt;10&lt;15 heliographic degrees</v>
      </c>
      <c r="AM65" t="str">
        <f t="shared" si="2"/>
        <v>Assymetric</v>
      </c>
      <c r="AN65" t="str">
        <f t="shared" si="3"/>
        <v>&gt;2,5 heliographic degrees</v>
      </c>
      <c r="AO65" t="str">
        <f t="shared" si="4"/>
        <v>Compact</v>
      </c>
    </row>
    <row r="66" spans="15:41" ht="12.75">
      <c r="O66" s="108" t="s">
        <v>110</v>
      </c>
      <c r="P66" s="108">
        <v>57</v>
      </c>
      <c r="Q66" s="137" t="s">
        <v>16</v>
      </c>
      <c r="R66" s="138"/>
      <c r="S66" s="139" t="s">
        <v>19</v>
      </c>
      <c r="T66" s="140" t="s">
        <v>21</v>
      </c>
      <c r="U66" s="141"/>
      <c r="V66" s="141"/>
      <c r="W66" s="142" t="s">
        <v>118</v>
      </c>
      <c r="X66" s="137" t="s">
        <v>26</v>
      </c>
      <c r="Y66" s="143"/>
      <c r="Z66" s="143"/>
      <c r="AA66" s="143" t="s">
        <v>29</v>
      </c>
      <c r="AB66" s="144"/>
      <c r="AC66" s="137" t="s">
        <v>32</v>
      </c>
      <c r="AD66" s="145"/>
      <c r="AE66" s="146" t="s">
        <v>120</v>
      </c>
      <c r="AF66" s="137" t="s">
        <v>44</v>
      </c>
      <c r="AG66" s="147"/>
      <c r="AH66" s="147"/>
      <c r="AI66" s="147"/>
      <c r="AJ66" s="148" t="s">
        <v>40</v>
      </c>
      <c r="AK66" t="str">
        <f t="shared" si="0"/>
        <v>Bipolar</v>
      </c>
      <c r="AL66" t="str">
        <f t="shared" si="1"/>
        <v>&gt;15 heliographic degrees</v>
      </c>
      <c r="AM66" t="str">
        <f t="shared" si="2"/>
        <v>Assymetric</v>
      </c>
      <c r="AN66" t="str">
        <f t="shared" si="3"/>
        <v>&gt;2,5 heliographic degrees</v>
      </c>
      <c r="AO66" t="str">
        <f t="shared" si="4"/>
        <v>Compact</v>
      </c>
    </row>
    <row r="67" spans="15:41" ht="12.75">
      <c r="O67" s="108" t="s">
        <v>111</v>
      </c>
      <c r="P67" s="108">
        <v>58</v>
      </c>
      <c r="Q67" s="137" t="s">
        <v>16</v>
      </c>
      <c r="R67" s="138"/>
      <c r="S67" s="139" t="s">
        <v>19</v>
      </c>
      <c r="T67" s="140" t="s">
        <v>21</v>
      </c>
      <c r="U67" s="141" t="s">
        <v>116</v>
      </c>
      <c r="V67" s="141"/>
      <c r="W67" s="142"/>
      <c r="X67" s="137" t="s">
        <v>26</v>
      </c>
      <c r="Y67" s="143"/>
      <c r="Z67" s="143"/>
      <c r="AA67" s="143"/>
      <c r="AB67" s="144" t="s">
        <v>30</v>
      </c>
      <c r="AC67" s="137" t="s">
        <v>32</v>
      </c>
      <c r="AD67" s="145"/>
      <c r="AE67" s="146" t="s">
        <v>120</v>
      </c>
      <c r="AF67" s="137" t="s">
        <v>44</v>
      </c>
      <c r="AG67" s="147"/>
      <c r="AH67" s="147"/>
      <c r="AI67" s="147"/>
      <c r="AJ67" s="148" t="s">
        <v>40</v>
      </c>
      <c r="AK67" t="str">
        <f t="shared" si="0"/>
        <v>Bipolar</v>
      </c>
      <c r="AL67" t="str">
        <f t="shared" si="1"/>
        <v>&lt;10 heliographic degrees</v>
      </c>
      <c r="AM67" t="str">
        <f t="shared" si="2"/>
        <v>Symmetric</v>
      </c>
      <c r="AN67" t="str">
        <f t="shared" si="3"/>
        <v>&gt;2,5 heliographic degrees</v>
      </c>
      <c r="AO67" t="str">
        <f t="shared" si="4"/>
        <v>Compact</v>
      </c>
    </row>
    <row r="68" spans="15:41" ht="12.75">
      <c r="O68" s="108" t="s">
        <v>112</v>
      </c>
      <c r="P68" s="108">
        <v>59</v>
      </c>
      <c r="Q68" s="137" t="s">
        <v>16</v>
      </c>
      <c r="R68" s="138"/>
      <c r="S68" s="139" t="s">
        <v>19</v>
      </c>
      <c r="T68" s="140" t="s">
        <v>21</v>
      </c>
      <c r="U68" s="141"/>
      <c r="V68" s="141" t="s">
        <v>117</v>
      </c>
      <c r="W68" s="142"/>
      <c r="X68" s="137" t="s">
        <v>26</v>
      </c>
      <c r="Y68" s="143"/>
      <c r="Z68" s="143"/>
      <c r="AA68" s="143"/>
      <c r="AB68" s="144" t="s">
        <v>30</v>
      </c>
      <c r="AC68" s="137" t="s">
        <v>32</v>
      </c>
      <c r="AD68" s="145"/>
      <c r="AE68" s="146" t="s">
        <v>120</v>
      </c>
      <c r="AF68" s="137" t="s">
        <v>44</v>
      </c>
      <c r="AG68" s="147"/>
      <c r="AH68" s="147"/>
      <c r="AI68" s="147"/>
      <c r="AJ68" s="148" t="s">
        <v>40</v>
      </c>
      <c r="AK68" t="str">
        <f t="shared" si="0"/>
        <v>Bipolar</v>
      </c>
      <c r="AL68" t="str">
        <f t="shared" si="1"/>
        <v>&gt;10&lt;15 heliographic degrees</v>
      </c>
      <c r="AM68" t="str">
        <f t="shared" si="2"/>
        <v>Symmetric</v>
      </c>
      <c r="AN68" t="str">
        <f t="shared" si="3"/>
        <v>&gt;2,5 heliographic degrees</v>
      </c>
      <c r="AO68" t="str">
        <f t="shared" si="4"/>
        <v>Compact</v>
      </c>
    </row>
    <row r="69" spans="15:41" ht="13.5" thickBot="1">
      <c r="O69" s="108" t="s">
        <v>113</v>
      </c>
      <c r="P69" s="108">
        <v>60</v>
      </c>
      <c r="Q69" s="149" t="s">
        <v>16</v>
      </c>
      <c r="R69" s="150"/>
      <c r="S69" s="151" t="s">
        <v>19</v>
      </c>
      <c r="T69" s="152" t="s">
        <v>21</v>
      </c>
      <c r="U69" s="153"/>
      <c r="V69" s="153"/>
      <c r="W69" s="154" t="s">
        <v>118</v>
      </c>
      <c r="X69" s="149" t="s">
        <v>26</v>
      </c>
      <c r="Y69" s="155"/>
      <c r="Z69" s="155"/>
      <c r="AA69" s="155"/>
      <c r="AB69" s="156" t="s">
        <v>30</v>
      </c>
      <c r="AC69" s="149" t="s">
        <v>32</v>
      </c>
      <c r="AD69" s="157"/>
      <c r="AE69" s="158" t="s">
        <v>120</v>
      </c>
      <c r="AF69" s="149" t="s">
        <v>44</v>
      </c>
      <c r="AG69" s="159"/>
      <c r="AH69" s="159"/>
      <c r="AI69" s="159"/>
      <c r="AJ69" s="160" t="s">
        <v>40</v>
      </c>
      <c r="AK69" t="str">
        <f t="shared" si="0"/>
        <v>Bipolar</v>
      </c>
      <c r="AL69" t="str">
        <f t="shared" si="1"/>
        <v>&gt;15 heliographic degrees</v>
      </c>
      <c r="AM69" t="str">
        <f t="shared" si="2"/>
        <v>Symmetric</v>
      </c>
      <c r="AN69" t="str">
        <f t="shared" si="3"/>
        <v>&gt;2,5 heliographic degrees</v>
      </c>
      <c r="AO69" t="str">
        <f t="shared" si="4"/>
        <v>Compact</v>
      </c>
    </row>
  </sheetData>
  <sheetProtection password="DBD9" sheet="1" objects="1" scenarios="1" selectLockedCells="1"/>
  <mergeCells count="7">
    <mergeCell ref="D15:K15"/>
    <mergeCell ref="D3:K3"/>
    <mergeCell ref="D4:K4"/>
    <mergeCell ref="E13:F13"/>
    <mergeCell ref="G13:H13"/>
    <mergeCell ref="J14:K14"/>
    <mergeCell ref="I13:J13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portrait" paperSize="9" scale="10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sheetData>
    <row r="1" ht="12.75">
      <c r="A1" s="197" t="s">
        <v>124</v>
      </c>
    </row>
    <row r="2" spans="1:3" ht="12">
      <c r="A2" s="199" t="s">
        <v>51</v>
      </c>
      <c r="B2" s="199" t="s">
        <v>125</v>
      </c>
      <c r="C2" s="199" t="s">
        <v>126</v>
      </c>
    </row>
    <row r="3" spans="1:3" ht="15">
      <c r="A3" s="198">
        <v>1</v>
      </c>
      <c r="B3" s="198" t="s">
        <v>48</v>
      </c>
      <c r="C3" s="201" t="str">
        <f>HYPERLINK(CONCATENATE("http://www.cv-helios.net/classifications/",A3,"-",LOWER(B3),".jpg"),B3)</f>
        <v>Axx</v>
      </c>
    </row>
    <row r="4" spans="1:3" ht="15">
      <c r="A4" s="198">
        <v>2</v>
      </c>
      <c r="B4" s="198" t="s">
        <v>52</v>
      </c>
      <c r="C4" s="201" t="str">
        <f aca="true" t="shared" si="0" ref="C4:C62">HYPERLINK(CONCATENATE("http://www.cv-helios.net/classifications/",A4,"-",LOWER(B4),".jpg"),B4)</f>
        <v>Bxo</v>
      </c>
    </row>
    <row r="5" spans="1:3" ht="15">
      <c r="A5" s="198">
        <v>3</v>
      </c>
      <c r="B5" s="198" t="s">
        <v>53</v>
      </c>
      <c r="C5" s="201" t="str">
        <f t="shared" si="0"/>
        <v>Bxi</v>
      </c>
    </row>
    <row r="6" spans="1:3" ht="15">
      <c r="A6" s="198">
        <v>4</v>
      </c>
      <c r="B6" s="198" t="s">
        <v>54</v>
      </c>
      <c r="C6" s="201" t="str">
        <f t="shared" si="0"/>
        <v>Hrx</v>
      </c>
    </row>
    <row r="7" spans="1:3" ht="15">
      <c r="A7" s="198">
        <v>5</v>
      </c>
      <c r="B7" s="198" t="s">
        <v>55</v>
      </c>
      <c r="C7" s="201" t="str">
        <f t="shared" si="0"/>
        <v>Cro</v>
      </c>
    </row>
    <row r="8" spans="1:3" ht="15">
      <c r="A8" s="198">
        <v>6</v>
      </c>
      <c r="B8" s="198" t="s">
        <v>56</v>
      </c>
      <c r="C8" s="201" t="str">
        <f t="shared" si="0"/>
        <v>Cri</v>
      </c>
    </row>
    <row r="9" spans="1:3" ht="15">
      <c r="A9" s="198">
        <v>7</v>
      </c>
      <c r="B9" s="198" t="s">
        <v>57</v>
      </c>
      <c r="C9" s="201" t="str">
        <f t="shared" si="0"/>
        <v>Hax</v>
      </c>
    </row>
    <row r="10" spans="1:3" ht="15">
      <c r="A10" s="198">
        <v>8</v>
      </c>
      <c r="B10" s="198" t="s">
        <v>58</v>
      </c>
      <c r="C10" s="201" t="str">
        <f t="shared" si="0"/>
        <v>Cao</v>
      </c>
    </row>
    <row r="11" spans="1:3" ht="15">
      <c r="A11" s="198">
        <v>9</v>
      </c>
      <c r="B11" s="198" t="s">
        <v>59</v>
      </c>
      <c r="C11" s="201" t="str">
        <f t="shared" si="0"/>
        <v>Cai</v>
      </c>
    </row>
    <row r="12" spans="1:3" ht="15">
      <c r="A12" s="198">
        <v>10</v>
      </c>
      <c r="B12" s="198" t="s">
        <v>60</v>
      </c>
      <c r="C12" s="201" t="str">
        <f t="shared" si="0"/>
        <v>Hsx</v>
      </c>
    </row>
    <row r="13" spans="1:3" ht="15">
      <c r="A13" s="198">
        <v>11</v>
      </c>
      <c r="B13" s="198" t="s">
        <v>61</v>
      </c>
      <c r="C13" s="201" t="str">
        <f t="shared" si="0"/>
        <v>Cso</v>
      </c>
    </row>
    <row r="14" spans="1:3" ht="15">
      <c r="A14" s="198">
        <v>12</v>
      </c>
      <c r="B14" s="198" t="s">
        <v>62</v>
      </c>
      <c r="C14" s="201" t="str">
        <f t="shared" si="0"/>
        <v>Csi</v>
      </c>
    </row>
    <row r="15" spans="1:3" ht="15">
      <c r="A15" s="198">
        <v>13</v>
      </c>
      <c r="B15" s="198" t="s">
        <v>63</v>
      </c>
      <c r="C15" s="201" t="str">
        <f t="shared" si="0"/>
        <v>Dro</v>
      </c>
    </row>
    <row r="16" spans="1:3" ht="15">
      <c r="A16" s="198">
        <v>14</v>
      </c>
      <c r="B16" s="198" t="s">
        <v>64</v>
      </c>
      <c r="C16" s="201" t="str">
        <f t="shared" si="0"/>
        <v>Ero</v>
      </c>
    </row>
    <row r="17" spans="1:3" ht="15">
      <c r="A17" s="198">
        <v>15</v>
      </c>
      <c r="B17" s="198" t="s">
        <v>65</v>
      </c>
      <c r="C17" s="201" t="str">
        <f t="shared" si="0"/>
        <v>Fro</v>
      </c>
    </row>
    <row r="18" spans="1:3" ht="15">
      <c r="A18" s="198">
        <v>16</v>
      </c>
      <c r="B18" s="198" t="s">
        <v>66</v>
      </c>
      <c r="C18" s="201" t="str">
        <f t="shared" si="0"/>
        <v>Dri</v>
      </c>
    </row>
    <row r="19" spans="1:3" ht="15">
      <c r="A19" s="198">
        <v>17</v>
      </c>
      <c r="B19" s="198" t="s">
        <v>67</v>
      </c>
      <c r="C19" s="201" t="str">
        <f t="shared" si="0"/>
        <v>Eri</v>
      </c>
    </row>
    <row r="20" spans="1:3" ht="15">
      <c r="A20" s="198">
        <v>18</v>
      </c>
      <c r="B20" s="198" t="s">
        <v>68</v>
      </c>
      <c r="C20" s="201" t="str">
        <f t="shared" si="0"/>
        <v>Fri</v>
      </c>
    </row>
    <row r="21" spans="1:3" ht="15">
      <c r="A21" s="198">
        <v>19</v>
      </c>
      <c r="B21" s="198" t="s">
        <v>69</v>
      </c>
      <c r="C21" s="201" t="str">
        <f t="shared" si="0"/>
        <v>Dao</v>
      </c>
    </row>
    <row r="22" spans="1:3" ht="15">
      <c r="A22" s="198">
        <v>20</v>
      </c>
      <c r="B22" s="198" t="s">
        <v>70</v>
      </c>
      <c r="C22" s="201" t="str">
        <f t="shared" si="0"/>
        <v>Eao</v>
      </c>
    </row>
    <row r="23" spans="1:3" ht="15">
      <c r="A23" s="198">
        <v>21</v>
      </c>
      <c r="B23" s="198" t="s">
        <v>71</v>
      </c>
      <c r="C23" s="201" t="str">
        <f t="shared" si="0"/>
        <v>Fao</v>
      </c>
    </row>
    <row r="24" spans="1:3" ht="15">
      <c r="A24" s="198">
        <v>22</v>
      </c>
      <c r="B24" s="198" t="s">
        <v>72</v>
      </c>
      <c r="C24" s="201" t="str">
        <f t="shared" si="0"/>
        <v>Dai</v>
      </c>
    </row>
    <row r="25" spans="1:3" ht="15">
      <c r="A25" s="198">
        <v>23</v>
      </c>
      <c r="B25" s="198" t="s">
        <v>74</v>
      </c>
      <c r="C25" s="201" t="str">
        <f t="shared" si="0"/>
        <v>Eai</v>
      </c>
    </row>
    <row r="26" spans="1:3" ht="15">
      <c r="A26" s="198">
        <v>24</v>
      </c>
      <c r="B26" s="198" t="s">
        <v>75</v>
      </c>
      <c r="C26" s="201" t="str">
        <f t="shared" si="0"/>
        <v>Fai</v>
      </c>
    </row>
    <row r="27" spans="1:3" ht="15">
      <c r="A27" s="198">
        <v>25</v>
      </c>
      <c r="B27" s="198" t="s">
        <v>78</v>
      </c>
      <c r="C27" s="201" t="str">
        <f t="shared" si="0"/>
        <v>Dso</v>
      </c>
    </row>
    <row r="28" spans="1:3" ht="15">
      <c r="A28" s="198">
        <v>26</v>
      </c>
      <c r="B28" s="198" t="s">
        <v>79</v>
      </c>
      <c r="C28" s="201" t="str">
        <f t="shared" si="0"/>
        <v>Eso</v>
      </c>
    </row>
    <row r="29" spans="1:3" ht="15">
      <c r="A29" s="198">
        <v>27</v>
      </c>
      <c r="B29" s="198" t="s">
        <v>80</v>
      </c>
      <c r="C29" s="201" t="str">
        <f t="shared" si="0"/>
        <v>Fso</v>
      </c>
    </row>
    <row r="30" spans="1:3" ht="15">
      <c r="A30" s="198">
        <v>28</v>
      </c>
      <c r="B30" s="198" t="s">
        <v>81</v>
      </c>
      <c r="C30" s="201" t="str">
        <f t="shared" si="0"/>
        <v>Dsi</v>
      </c>
    </row>
    <row r="31" spans="1:3" ht="15">
      <c r="A31" s="198">
        <v>29</v>
      </c>
      <c r="B31" s="198" t="s">
        <v>82</v>
      </c>
      <c r="C31" s="201" t="str">
        <f t="shared" si="0"/>
        <v>Esi</v>
      </c>
    </row>
    <row r="32" spans="1:3" ht="15">
      <c r="A32" s="198">
        <v>30</v>
      </c>
      <c r="B32" s="198" t="s">
        <v>83</v>
      </c>
      <c r="C32" s="201" t="str">
        <f t="shared" si="0"/>
        <v>Fsi</v>
      </c>
    </row>
    <row r="33" spans="1:3" ht="15">
      <c r="A33" s="198">
        <v>31</v>
      </c>
      <c r="B33" s="198" t="s">
        <v>84</v>
      </c>
      <c r="C33" s="201" t="str">
        <f t="shared" si="0"/>
        <v>Dac</v>
      </c>
    </row>
    <row r="34" spans="1:3" ht="15">
      <c r="A34" s="198">
        <v>32</v>
      </c>
      <c r="B34" s="198" t="s">
        <v>85</v>
      </c>
      <c r="C34" s="201" t="str">
        <f t="shared" si="0"/>
        <v>Eac</v>
      </c>
    </row>
    <row r="35" spans="1:3" ht="15">
      <c r="A35" s="198">
        <v>33</v>
      </c>
      <c r="B35" s="198" t="s">
        <v>86</v>
      </c>
      <c r="C35" s="201" t="str">
        <f t="shared" si="0"/>
        <v>Fac</v>
      </c>
    </row>
    <row r="36" spans="1:3" ht="15">
      <c r="A36" s="198">
        <v>34</v>
      </c>
      <c r="B36" s="198" t="s">
        <v>87</v>
      </c>
      <c r="C36" s="201" t="str">
        <f t="shared" si="0"/>
        <v>Dsc</v>
      </c>
    </row>
    <row r="37" spans="1:3" ht="15">
      <c r="A37" s="198">
        <v>35</v>
      </c>
      <c r="B37" s="198" t="s">
        <v>88</v>
      </c>
      <c r="C37" s="201" t="str">
        <f t="shared" si="0"/>
        <v>Esc</v>
      </c>
    </row>
    <row r="38" spans="1:3" ht="15">
      <c r="A38" s="198">
        <v>36</v>
      </c>
      <c r="B38" s="198" t="s">
        <v>89</v>
      </c>
      <c r="C38" s="201" t="str">
        <f t="shared" si="0"/>
        <v>Fsc</v>
      </c>
    </row>
    <row r="39" spans="1:3" ht="15">
      <c r="A39" s="198">
        <v>37</v>
      </c>
      <c r="B39" s="198" t="s">
        <v>90</v>
      </c>
      <c r="C39" s="201" t="str">
        <f t="shared" si="0"/>
        <v>Hkx</v>
      </c>
    </row>
    <row r="40" spans="1:3" ht="15">
      <c r="A40" s="198">
        <v>38</v>
      </c>
      <c r="B40" s="198" t="s">
        <v>91</v>
      </c>
      <c r="C40" s="201" t="str">
        <f t="shared" si="0"/>
        <v>Cko</v>
      </c>
    </row>
    <row r="41" spans="1:3" ht="15">
      <c r="A41" s="198">
        <v>39</v>
      </c>
      <c r="B41" s="198" t="s">
        <v>92</v>
      </c>
      <c r="C41" s="201" t="str">
        <f t="shared" si="0"/>
        <v>Cki</v>
      </c>
    </row>
    <row r="42" spans="1:3" ht="15">
      <c r="A42" s="198">
        <v>40</v>
      </c>
      <c r="B42" s="198" t="s">
        <v>93</v>
      </c>
      <c r="C42" s="201" t="str">
        <f t="shared" si="0"/>
        <v>Hhx</v>
      </c>
    </row>
    <row r="43" spans="1:3" ht="15">
      <c r="A43" s="198">
        <v>41</v>
      </c>
      <c r="B43" s="198" t="s">
        <v>94</v>
      </c>
      <c r="C43" s="201" t="str">
        <f t="shared" si="0"/>
        <v>Cho</v>
      </c>
    </row>
    <row r="44" spans="1:3" ht="15">
      <c r="A44" s="198">
        <v>42</v>
      </c>
      <c r="B44" s="198" t="s">
        <v>95</v>
      </c>
      <c r="C44" s="201" t="str">
        <f t="shared" si="0"/>
        <v>Chi</v>
      </c>
    </row>
    <row r="45" spans="1:3" ht="15">
      <c r="A45" s="198">
        <v>43</v>
      </c>
      <c r="B45" s="198" t="s">
        <v>96</v>
      </c>
      <c r="C45" s="201" t="str">
        <f t="shared" si="0"/>
        <v>Dko</v>
      </c>
    </row>
    <row r="46" spans="1:3" ht="15">
      <c r="A46" s="198">
        <v>44</v>
      </c>
      <c r="B46" s="198" t="s">
        <v>97</v>
      </c>
      <c r="C46" s="201" t="str">
        <f t="shared" si="0"/>
        <v>Eko</v>
      </c>
    </row>
    <row r="47" spans="1:3" ht="15">
      <c r="A47" s="198">
        <v>45</v>
      </c>
      <c r="B47" s="198" t="s">
        <v>98</v>
      </c>
      <c r="C47" s="201" t="str">
        <f t="shared" si="0"/>
        <v>Fko</v>
      </c>
    </row>
    <row r="48" spans="1:3" ht="15">
      <c r="A48" s="198">
        <v>46</v>
      </c>
      <c r="B48" s="198" t="s">
        <v>99</v>
      </c>
      <c r="C48" s="201" t="str">
        <f t="shared" si="0"/>
        <v>Dki</v>
      </c>
    </row>
    <row r="49" spans="1:3" ht="15">
      <c r="A49" s="198">
        <v>47</v>
      </c>
      <c r="B49" s="198" t="s">
        <v>100</v>
      </c>
      <c r="C49" s="201" t="str">
        <f t="shared" si="0"/>
        <v>Eki</v>
      </c>
    </row>
    <row r="50" spans="1:3" ht="15">
      <c r="A50" s="198">
        <v>48</v>
      </c>
      <c r="B50" s="198" t="s">
        <v>101</v>
      </c>
      <c r="C50" s="201" t="str">
        <f t="shared" si="0"/>
        <v>Fki</v>
      </c>
    </row>
    <row r="51" spans="1:3" ht="15">
      <c r="A51" s="198">
        <v>49</v>
      </c>
      <c r="B51" s="198" t="s">
        <v>102</v>
      </c>
      <c r="C51" s="201" t="str">
        <f t="shared" si="0"/>
        <v>Dho</v>
      </c>
    </row>
    <row r="52" spans="1:3" ht="15">
      <c r="A52" s="198">
        <v>50</v>
      </c>
      <c r="B52" s="198" t="s">
        <v>103</v>
      </c>
      <c r="C52" s="201" t="str">
        <f t="shared" si="0"/>
        <v>Eho</v>
      </c>
    </row>
    <row r="53" spans="1:3" ht="15">
      <c r="A53" s="198">
        <v>51</v>
      </c>
      <c r="B53" s="198" t="s">
        <v>104</v>
      </c>
      <c r="C53" s="201" t="str">
        <f t="shared" si="0"/>
        <v>Fho</v>
      </c>
    </row>
    <row r="54" spans="1:3" ht="15">
      <c r="A54" s="198">
        <v>52</v>
      </c>
      <c r="B54" s="198" t="s">
        <v>105</v>
      </c>
      <c r="C54" s="201" t="str">
        <f t="shared" si="0"/>
        <v>Dhi</v>
      </c>
    </row>
    <row r="55" spans="1:3" ht="15">
      <c r="A55" s="198">
        <v>53</v>
      </c>
      <c r="B55" s="198" t="s">
        <v>106</v>
      </c>
      <c r="C55" s="201" t="str">
        <f t="shared" si="0"/>
        <v>Ehi</v>
      </c>
    </row>
    <row r="56" spans="1:3" ht="15">
      <c r="A56" s="198">
        <v>54</v>
      </c>
      <c r="B56" s="198" t="s">
        <v>107</v>
      </c>
      <c r="C56" s="201" t="str">
        <f t="shared" si="0"/>
        <v>Fhi</v>
      </c>
    </row>
    <row r="57" spans="1:3" ht="15">
      <c r="A57" s="198">
        <v>55</v>
      </c>
      <c r="B57" s="198" t="s">
        <v>108</v>
      </c>
      <c r="C57" s="201" t="str">
        <f t="shared" si="0"/>
        <v>Dkc</v>
      </c>
    </row>
    <row r="58" spans="1:3" ht="15">
      <c r="A58" s="198">
        <v>56</v>
      </c>
      <c r="B58" s="198" t="s">
        <v>109</v>
      </c>
      <c r="C58" s="201" t="str">
        <f t="shared" si="0"/>
        <v>Ekc</v>
      </c>
    </row>
    <row r="59" spans="1:3" ht="15">
      <c r="A59" s="198">
        <v>57</v>
      </c>
      <c r="B59" s="198" t="s">
        <v>110</v>
      </c>
      <c r="C59" s="201" t="str">
        <f t="shared" si="0"/>
        <v>Fkc</v>
      </c>
    </row>
    <row r="60" spans="1:3" ht="15">
      <c r="A60" s="198">
        <v>58</v>
      </c>
      <c r="B60" s="198" t="s">
        <v>111</v>
      </c>
      <c r="C60" s="201" t="str">
        <f t="shared" si="0"/>
        <v>Dhc</v>
      </c>
    </row>
    <row r="61" spans="1:3" ht="15">
      <c r="A61" s="198">
        <v>59</v>
      </c>
      <c r="B61" s="198" t="s">
        <v>112</v>
      </c>
      <c r="C61" s="201" t="str">
        <f t="shared" si="0"/>
        <v>Ehc</v>
      </c>
    </row>
    <row r="62" spans="1:3" ht="15">
      <c r="A62" s="198">
        <v>60</v>
      </c>
      <c r="B62" s="198" t="s">
        <v>113</v>
      </c>
      <c r="C62" s="201" t="str">
        <f t="shared" si="0"/>
        <v>Fhc</v>
      </c>
    </row>
  </sheetData>
  <sheetProtection password="DBD9" sheet="1" objects="1" scenarios="1" selectLockedCells="1"/>
  <printOptions horizontalCentered="1"/>
  <pageMargins left="0.7480314960629921" right="0.7480314960629921" top="0.4724409448818898" bottom="0.4724409448818898" header="0.2755905511811024" footer="0.275590551181102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="75" zoomScaleNormal="75" zoomScalePageLayoutView="0" workbookViewId="0" topLeftCell="A1">
      <selection activeCell="R33" sqref="R33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14" width="9.140625" style="0" customWidth="1"/>
    <col min="15" max="15" width="7.140625" style="0" customWidth="1"/>
    <col min="16" max="16" width="2.7109375" style="0" customWidth="1"/>
  </cols>
  <sheetData>
    <row r="1" spans="1:16" ht="7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2.7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2.7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ht="7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</sheetData>
  <sheetProtection password="DBD9" sheet="1" objects="1" scenarios="1" selectLockedCell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ofskjmal</dc:creator>
  <cp:keywords/>
  <dc:description/>
  <cp:lastModifiedBy>Kjell Inge Malde</cp:lastModifiedBy>
  <cp:lastPrinted>2021-02-18T18:45:38Z</cp:lastPrinted>
  <dcterms:created xsi:type="dcterms:W3CDTF">2007-04-17T12:55:28Z</dcterms:created>
  <dcterms:modified xsi:type="dcterms:W3CDTF">2021-02-19T15:19:51Z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